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threadedComments/threadedComment1.xml" ContentType="application/vnd.ms-excel.threaded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928"/>
  <workbookPr showInkAnnotation="0" autoCompressPictures="0"/>
  <mc:AlternateContent xmlns:mc="http://schemas.openxmlformats.org/markup-compatibility/2006">
    <mc:Choice Requires="x15">
      <x15ac:absPath xmlns:x15ac="http://schemas.microsoft.com/office/spreadsheetml/2010/11/ac" url="C:\Users\yiwang2\Desktop\WP3\CHA\data\processed\management\"/>
    </mc:Choice>
  </mc:AlternateContent>
  <xr:revisionPtr revIDLastSave="0" documentId="13_ncr:1_{47821FA3-9F14-4AF9-A153-B2B121604A00}" xr6:coauthVersionLast="47" xr6:coauthVersionMax="47" xr10:uidLastSave="{00000000-0000-0000-0000-000000000000}"/>
  <bookViews>
    <workbookView xWindow="28680" yWindow="-120" windowWidth="29040" windowHeight="17520" tabRatio="916" xr2:uid="{00000000-000D-0000-FFFF-FFFF00000000}"/>
  </bookViews>
  <sheets>
    <sheet name="CHA_Management" sheetId="26" r:id="rId1"/>
    <sheet name="Parcel separation" sheetId="33" r:id="rId2"/>
    <sheet name="Additional information" sheetId="23" r:id="rId3"/>
    <sheet name="Seed mixtures" sheetId="27" r:id="rId4"/>
    <sheet name="Herbicides" sheetId="28" r:id="rId5"/>
  </sheets>
  <definedNames>
    <definedName name="_xlnm._FilterDatabase" localSheetId="0" hidden="1">CHA_Management!$A$1:$AR$553</definedName>
  </definedNames>
  <calcPr calcId="191029"/>
  <extLst>
    <ext xmlns:x14="http://schemas.microsoft.com/office/spreadsheetml/2009/9/main" uri="{79F54976-1DA5-4618-B147-4CDE4B953A38}">
      <x14:workbookPr defaultImageDpi="330"/>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 xmlns:mx="http://schemas.microsoft.com/office/mac/excel/2008/main" uri="{7523E5D3-25F3-A5E0-1632-64F254C22452}">
      <mx:ArchID Flags="2"/>
    </ext>
  </extLst>
</workbook>
</file>

<file path=xl/calcChain.xml><?xml version="1.0" encoding="utf-8"?>
<calcChain xmlns="http://schemas.openxmlformats.org/spreadsheetml/2006/main">
  <c r="AH527" i="26" l="1"/>
  <c r="P527" i="26"/>
  <c r="R527" i="26" s="1"/>
  <c r="AH525" i="26"/>
  <c r="P525" i="26"/>
  <c r="R525" i="26" s="1"/>
  <c r="AH523" i="26"/>
  <c r="P523" i="26"/>
  <c r="R523" i="26" s="1"/>
  <c r="AH521" i="26"/>
  <c r="P521" i="26"/>
  <c r="R521" i="26" s="1"/>
  <c r="AH519" i="26"/>
  <c r="P519" i="26"/>
  <c r="R519" i="26" s="1"/>
  <c r="AH517" i="26"/>
  <c r="P517" i="26"/>
  <c r="R517" i="26" s="1"/>
  <c r="AH516" i="26"/>
  <c r="P516" i="26"/>
  <c r="R516" i="26" s="1"/>
  <c r="AH514" i="26"/>
  <c r="P514" i="26"/>
  <c r="R514" i="26" s="1"/>
  <c r="AH512" i="26"/>
  <c r="P512" i="26"/>
  <c r="R512" i="26" s="1"/>
  <c r="AH510" i="26"/>
  <c r="P510" i="26"/>
  <c r="R510" i="26" s="1"/>
  <c r="AH508" i="26"/>
  <c r="P508" i="26"/>
  <c r="R508" i="26" s="1"/>
  <c r="AH506" i="26"/>
  <c r="P506" i="26"/>
  <c r="R506" i="26" s="1"/>
  <c r="Q525" i="26" l="1"/>
  <c r="Q523" i="26"/>
  <c r="Q510" i="26"/>
  <c r="Q516" i="26"/>
  <c r="Q521" i="26"/>
  <c r="Q506" i="26"/>
  <c r="Q512" i="26"/>
  <c r="Q517" i="26"/>
  <c r="Q508" i="26"/>
  <c r="Q514" i="26"/>
  <c r="Q519" i="26"/>
  <c r="Q527" i="26"/>
  <c r="AH500" i="26" l="1"/>
  <c r="AH487" i="26"/>
  <c r="AH485" i="26"/>
  <c r="P500" i="26"/>
  <c r="R500" i="26" s="1"/>
  <c r="P487" i="26"/>
  <c r="R487" i="26" s="1"/>
  <c r="P485" i="26"/>
  <c r="AH498" i="26"/>
  <c r="P498" i="26"/>
  <c r="R498" i="26" s="1"/>
  <c r="AJ285" i="26"/>
  <c r="AJ283" i="26"/>
  <c r="AJ281" i="26"/>
  <c r="P281" i="26" s="1"/>
  <c r="AJ279" i="26"/>
  <c r="AJ276" i="26"/>
  <c r="AJ274" i="26"/>
  <c r="Q487" i="26" l="1"/>
  <c r="Q500" i="26"/>
  <c r="Q498" i="26"/>
  <c r="AG448" i="26"/>
  <c r="AH433" i="26"/>
  <c r="AH432" i="26"/>
  <c r="AH434" i="26"/>
  <c r="AH436" i="26"/>
  <c r="AH438" i="26"/>
  <c r="AH503" i="26"/>
  <c r="AH490" i="26"/>
  <c r="AH488" i="26"/>
  <c r="AH501" i="26"/>
  <c r="AH455" i="26"/>
  <c r="AH462" i="26"/>
  <c r="AH473" i="26"/>
  <c r="AJ473" i="26" s="1"/>
  <c r="AH480" i="26"/>
  <c r="AH493" i="26"/>
  <c r="AJ493" i="26" s="1"/>
  <c r="AG505" i="26"/>
  <c r="AH505" i="26" s="1"/>
  <c r="AJ505" i="26" s="1"/>
  <c r="AH320" i="26"/>
  <c r="T468" i="26"/>
  <c r="T470" i="26"/>
  <c r="T449" i="26"/>
  <c r="T451" i="26"/>
  <c r="T453" i="26"/>
  <c r="T456" i="26"/>
  <c r="T460" i="26"/>
  <c r="T463" i="26"/>
  <c r="T464" i="26"/>
  <c r="S421" i="26"/>
  <c r="S423" i="26"/>
  <c r="S425" i="26"/>
  <c r="S465" i="26"/>
  <c r="S477" i="26"/>
  <c r="U477" i="26" s="1"/>
  <c r="S478" i="26"/>
  <c r="U478" i="26" s="1"/>
  <c r="S448" i="26"/>
  <c r="U448" i="26" s="1"/>
  <c r="AE389" i="26"/>
  <c r="Y389" i="26"/>
  <c r="Y417" i="26"/>
  <c r="T478" i="26" l="1"/>
  <c r="T477" i="26"/>
  <c r="T448" i="26"/>
  <c r="AJ116" i="26"/>
  <c r="Z465" i="26"/>
  <c r="Z467" i="26"/>
  <c r="Z469" i="26"/>
  <c r="Z471" i="26"/>
  <c r="Z472" i="26"/>
  <c r="Z473" i="26"/>
  <c r="Z475" i="26"/>
  <c r="Z476" i="26"/>
  <c r="Z477" i="26"/>
  <c r="Z478" i="26"/>
  <c r="Z479" i="26"/>
  <c r="Z480" i="26"/>
  <c r="Z482" i="26"/>
  <c r="Z445" i="26"/>
  <c r="Z448" i="26"/>
  <c r="Z450" i="26"/>
  <c r="Z452" i="26"/>
  <c r="Z454" i="26"/>
  <c r="Z455" i="26"/>
  <c r="Z457" i="26"/>
  <c r="Z458" i="26"/>
  <c r="Z459" i="26"/>
  <c r="Z461" i="26"/>
  <c r="Z462" i="26"/>
  <c r="AE414" i="26"/>
  <c r="AD414" i="26"/>
  <c r="W430" i="26"/>
  <c r="Z421" i="26"/>
  <c r="Z420" i="26"/>
  <c r="AD398" i="26"/>
  <c r="AD397" i="26"/>
  <c r="S479" i="26"/>
  <c r="S476" i="26"/>
  <c r="S475" i="26"/>
  <c r="S472" i="26"/>
  <c r="S471" i="26"/>
  <c r="S469" i="26"/>
  <c r="S467" i="26"/>
  <c r="S461" i="26"/>
  <c r="S459" i="26"/>
  <c r="S458" i="26"/>
  <c r="S457" i="26"/>
  <c r="S454" i="26"/>
  <c r="S452" i="26"/>
  <c r="S450" i="26"/>
  <c r="S445" i="26"/>
  <c r="AH448" i="26"/>
  <c r="S443" i="26"/>
  <c r="S442" i="26"/>
  <c r="S441" i="26"/>
  <c r="S439" i="26"/>
  <c r="S437" i="26"/>
  <c r="S435" i="26"/>
  <c r="S433" i="26"/>
  <c r="S428" i="26"/>
  <c r="S429" i="26"/>
  <c r="S430" i="26"/>
  <c r="S427" i="26"/>
  <c r="S420" i="26"/>
  <c r="AJ455" i="26"/>
  <c r="T452" i="26" l="1"/>
  <c r="U452" i="26"/>
  <c r="U441" i="26"/>
  <c r="T441" i="26"/>
  <c r="U442" i="26"/>
  <c r="T442" i="26"/>
  <c r="U457" i="26"/>
  <c r="T457" i="26"/>
  <c r="U467" i="26"/>
  <c r="T467" i="26"/>
  <c r="U469" i="26"/>
  <c r="T469" i="26"/>
  <c r="T454" i="26"/>
  <c r="U454" i="26"/>
  <c r="U458" i="26"/>
  <c r="T458" i="26"/>
  <c r="T476" i="26"/>
  <c r="U476" i="26"/>
  <c r="T471" i="26"/>
  <c r="U471" i="26"/>
  <c r="U459" i="26"/>
  <c r="T459" i="26"/>
  <c r="U450" i="26"/>
  <c r="T450" i="26"/>
  <c r="U433" i="26"/>
  <c r="T433" i="26"/>
  <c r="U461" i="26"/>
  <c r="T461" i="26"/>
  <c r="U443" i="26"/>
  <c r="T443" i="26"/>
  <c r="AJ256" i="26"/>
  <c r="S383" i="26" l="1"/>
  <c r="AJ426" i="26"/>
  <c r="AL431" i="26"/>
  <c r="AL426" i="26"/>
  <c r="Z430" i="26"/>
  <c r="AJ431" i="26"/>
  <c r="AL455" i="26"/>
  <c r="S455" i="26" s="1"/>
  <c r="AL462" i="26"/>
  <c r="AL480" i="26"/>
  <c r="AL473" i="26"/>
  <c r="S473" i="26" s="1"/>
  <c r="AJ480" i="26"/>
  <c r="AL411" i="26"/>
  <c r="Y433" i="26"/>
  <c r="AJ462" i="26"/>
  <c r="AH496" i="26"/>
  <c r="AH494" i="26"/>
  <c r="AH483" i="26"/>
  <c r="AH481" i="26"/>
  <c r="Q485" i="26"/>
  <c r="P494" i="26"/>
  <c r="R494" i="26" s="1"/>
  <c r="P481" i="26"/>
  <c r="Q481" i="26" s="1"/>
  <c r="P496" i="26"/>
  <c r="R496" i="26" s="1"/>
  <c r="P483" i="26"/>
  <c r="R483" i="26" s="1"/>
  <c r="Y497" i="26"/>
  <c r="Y482" i="26"/>
  <c r="Y484" i="26"/>
  <c r="Y486" i="26"/>
  <c r="Y495" i="26"/>
  <c r="Y499" i="26"/>
  <c r="AH476" i="26"/>
  <c r="AH468" i="26"/>
  <c r="AH477" i="26"/>
  <c r="AH478" i="26"/>
  <c r="AH467" i="26"/>
  <c r="AH466" i="26"/>
  <c r="AH469" i="26"/>
  <c r="AH470" i="26"/>
  <c r="AH471" i="26"/>
  <c r="AJ414" i="26"/>
  <c r="S414" i="26" s="1"/>
  <c r="AH454" i="26"/>
  <c r="P440" i="26"/>
  <c r="Q440" i="26" s="1"/>
  <c r="P466" i="26"/>
  <c r="Q466" i="26" s="1"/>
  <c r="P470" i="26"/>
  <c r="Q470" i="26" s="1"/>
  <c r="P468" i="26"/>
  <c r="Q468" i="26" s="1"/>
  <c r="P463" i="26"/>
  <c r="R463" i="26" s="1"/>
  <c r="Y475" i="26"/>
  <c r="Y480" i="26"/>
  <c r="Y479" i="26"/>
  <c r="Y478" i="26"/>
  <c r="Y477" i="26"/>
  <c r="Y476" i="26"/>
  <c r="Y473" i="26"/>
  <c r="Y472" i="26"/>
  <c r="Y471" i="26"/>
  <c r="Y469" i="26"/>
  <c r="Y467" i="26"/>
  <c r="Y465" i="26"/>
  <c r="Y462" i="26"/>
  <c r="Y461" i="26"/>
  <c r="Y459" i="26"/>
  <c r="Y458" i="26"/>
  <c r="Y457" i="26"/>
  <c r="Y455" i="26"/>
  <c r="Y454" i="26"/>
  <c r="Y452" i="26"/>
  <c r="Y450" i="26"/>
  <c r="Y448" i="26"/>
  <c r="Y445" i="26"/>
  <c r="S480" i="26" l="1"/>
  <c r="T480" i="26" s="1"/>
  <c r="S431" i="26"/>
  <c r="T431" i="26" s="1"/>
  <c r="S426" i="26"/>
  <c r="T426" i="26" s="1"/>
  <c r="T414" i="26"/>
  <c r="U414" i="26"/>
  <c r="S462" i="26"/>
  <c r="T462" i="26" s="1"/>
  <c r="U455" i="26"/>
  <c r="T455" i="26"/>
  <c r="T473" i="26"/>
  <c r="U473" i="26"/>
  <c r="Q463" i="26"/>
  <c r="Q496" i="26"/>
  <c r="R468" i="26"/>
  <c r="R485" i="26"/>
  <c r="Q494" i="26"/>
  <c r="R481" i="26"/>
  <c r="Q483" i="26"/>
  <c r="R440" i="26"/>
  <c r="R466" i="26"/>
  <c r="R470" i="26"/>
  <c r="U480" i="26" l="1"/>
  <c r="U431" i="26"/>
  <c r="U426" i="26"/>
  <c r="U462" i="26"/>
  <c r="O399" i="26"/>
  <c r="P453" i="26" l="1"/>
  <c r="AH452" i="26"/>
  <c r="AH450" i="26"/>
  <c r="AH453" i="26"/>
  <c r="AH451" i="26"/>
  <c r="AH447" i="26"/>
  <c r="AH446" i="26"/>
  <c r="R453" i="26" l="1"/>
  <c r="Q453" i="26"/>
  <c r="Y402" i="26"/>
  <c r="T342" i="26"/>
  <c r="Z442" i="26" l="1"/>
  <c r="Z443" i="26"/>
  <c r="Z441" i="26"/>
  <c r="Z435" i="26"/>
  <c r="Z437" i="26"/>
  <c r="Z439" i="26"/>
  <c r="Z433" i="26"/>
  <c r="Z423" i="26"/>
  <c r="Z425" i="26"/>
  <c r="Z427" i="26"/>
  <c r="Z428" i="26"/>
  <c r="Z429" i="26"/>
  <c r="P451" i="26" l="1"/>
  <c r="R451" i="26" l="1"/>
  <c r="Q451" i="26"/>
  <c r="P449" i="26"/>
  <c r="R449" i="26" s="1"/>
  <c r="Q449" i="26" l="1"/>
  <c r="E82" i="27"/>
  <c r="E80" i="27"/>
  <c r="AH449" i="26" l="1"/>
  <c r="AJ160" i="26"/>
  <c r="P446" i="26"/>
  <c r="Q446" i="26" l="1"/>
  <c r="R446" i="26"/>
  <c r="Y442" i="26"/>
  <c r="Y443" i="26"/>
  <c r="Y441" i="26"/>
  <c r="Y435" i="26"/>
  <c r="Y437" i="26"/>
  <c r="Y439" i="26"/>
  <c r="Y421" i="26"/>
  <c r="Y423" i="26"/>
  <c r="Y425" i="26"/>
  <c r="Y427" i="26"/>
  <c r="Y428" i="26"/>
  <c r="Y429" i="26"/>
  <c r="Y430" i="26"/>
  <c r="Y420" i="26"/>
  <c r="Y414" i="26"/>
  <c r="Y415" i="26"/>
  <c r="Y416" i="26"/>
  <c r="Y418" i="26"/>
  <c r="Y411" i="26"/>
  <c r="Y404" i="26"/>
  <c r="Y406" i="26"/>
  <c r="Y408" i="26"/>
  <c r="Y410" i="26"/>
  <c r="Y400" i="26"/>
  <c r="Y395" i="26"/>
  <c r="Y396" i="26"/>
  <c r="Y397" i="26"/>
  <c r="Y398" i="26"/>
  <c r="Y399" i="26"/>
  <c r="Y394" i="26"/>
  <c r="Y383" i="26"/>
  <c r="Y385" i="26"/>
  <c r="Y387" i="26"/>
  <c r="Y381" i="26"/>
  <c r="Y378" i="26" l="1"/>
  <c r="Y368" i="26"/>
  <c r="Y366" i="26"/>
  <c r="Q434" i="26" l="1"/>
  <c r="Q436" i="26"/>
  <c r="Q432" i="26"/>
  <c r="Q422" i="26"/>
  <c r="Q424" i="26"/>
  <c r="Q419" i="26"/>
  <c r="P438" i="26" l="1"/>
  <c r="Q438" i="26" l="1"/>
  <c r="R438" i="26"/>
  <c r="AH409" i="26"/>
  <c r="AH407" i="26"/>
  <c r="AH405" i="26"/>
  <c r="AH403" i="26"/>
  <c r="AH401" i="26"/>
  <c r="P401" i="26"/>
  <c r="Q401" i="26" s="1"/>
  <c r="S5" i="26" l="1"/>
  <c r="U5" i="26" s="1"/>
  <c r="AJ30" i="26"/>
  <c r="S30" i="26" s="1"/>
  <c r="U30" i="26" s="1"/>
  <c r="AJ32" i="26"/>
  <c r="S32" i="26" s="1"/>
  <c r="U32" i="26" s="1"/>
  <c r="AJ33" i="26"/>
  <c r="S33" i="26" s="1"/>
  <c r="T33" i="26" s="1"/>
  <c r="AJ35" i="26"/>
  <c r="S35" i="26" s="1"/>
  <c r="U35" i="26" s="1"/>
  <c r="AJ38" i="26"/>
  <c r="P38" i="26" s="1"/>
  <c r="Q38" i="26" s="1"/>
  <c r="AJ44" i="26"/>
  <c r="P44" i="26" s="1"/>
  <c r="AJ47" i="26"/>
  <c r="P47" i="26" s="1"/>
  <c r="Q47" i="26" s="1"/>
  <c r="AJ50" i="26"/>
  <c r="P50" i="26" s="1"/>
  <c r="Q50" i="26" s="1"/>
  <c r="E7" i="27"/>
  <c r="E8" i="27"/>
  <c r="E9" i="27"/>
  <c r="E10" i="27"/>
  <c r="E11" i="27"/>
  <c r="D12" i="27"/>
  <c r="E12" i="27" s="1"/>
  <c r="D69" i="27"/>
  <c r="E69" i="27" s="1"/>
  <c r="D70" i="27"/>
  <c r="E70" i="27" s="1"/>
  <c r="E71" i="27"/>
  <c r="D68" i="27"/>
  <c r="E68" i="27"/>
  <c r="E52" i="27"/>
  <c r="E48" i="27"/>
  <c r="E49" i="27"/>
  <c r="E56" i="27" s="1"/>
  <c r="E50" i="27"/>
  <c r="E51" i="27"/>
  <c r="E53" i="27"/>
  <c r="E54" i="27"/>
  <c r="E55" i="27"/>
  <c r="D56" i="27"/>
  <c r="E26" i="27"/>
  <c r="E27" i="27"/>
  <c r="E28" i="27"/>
  <c r="E29" i="27"/>
  <c r="E30" i="27"/>
  <c r="E31" i="27"/>
  <c r="E32" i="27"/>
  <c r="E25" i="27"/>
  <c r="D33" i="27"/>
  <c r="AJ399" i="26"/>
  <c r="AJ398" i="26"/>
  <c r="S398" i="26" s="1"/>
  <c r="AH395" i="26"/>
  <c r="AH394" i="26"/>
  <c r="AH351" i="26"/>
  <c r="AJ351" i="26" s="1"/>
  <c r="S351" i="26" s="1"/>
  <c r="AJ377" i="26"/>
  <c r="T377" i="26" s="1"/>
  <c r="AJ375" i="26"/>
  <c r="U375" i="26" s="1"/>
  <c r="AJ373" i="26"/>
  <c r="P373" i="26" s="1"/>
  <c r="AJ371" i="26"/>
  <c r="U371" i="26" s="1"/>
  <c r="AJ359" i="26"/>
  <c r="S359" i="26" s="1"/>
  <c r="U359" i="26" s="1"/>
  <c r="AJ321" i="26"/>
  <c r="U321" i="26" s="1"/>
  <c r="AJ389" i="26"/>
  <c r="S389" i="26" s="1"/>
  <c r="AJ402" i="26"/>
  <c r="S402" i="26" s="1"/>
  <c r="AJ404" i="26"/>
  <c r="S404" i="26" s="1"/>
  <c r="AJ406" i="26"/>
  <c r="S406" i="26" s="1"/>
  <c r="AJ408" i="26"/>
  <c r="S408" i="26" s="1"/>
  <c r="AJ387" i="26"/>
  <c r="S387" i="26" s="1"/>
  <c r="U387" i="26" s="1"/>
  <c r="AJ385" i="26"/>
  <c r="S385" i="26" s="1"/>
  <c r="AH383" i="26"/>
  <c r="AH381" i="26"/>
  <c r="AJ301" i="26"/>
  <c r="P301" i="26" s="1"/>
  <c r="AJ306" i="26"/>
  <c r="P306" i="26" s="1"/>
  <c r="Q306" i="26" s="1"/>
  <c r="P294" i="26"/>
  <c r="Q294" i="26" s="1"/>
  <c r="P296" i="26"/>
  <c r="Q296" i="26" s="1"/>
  <c r="P298" i="26"/>
  <c r="Q298" i="26" s="1"/>
  <c r="P287" i="26"/>
  <c r="Q287" i="26" s="1"/>
  <c r="P279" i="26"/>
  <c r="Q279" i="26" s="1"/>
  <c r="P289" i="26"/>
  <c r="Q281" i="26"/>
  <c r="P283" i="26"/>
  <c r="Q283" i="26" s="1"/>
  <c r="P274" i="26"/>
  <c r="Q274" i="26" s="1"/>
  <c r="AJ263" i="26"/>
  <c r="P263" i="26" s="1"/>
  <c r="Q263" i="26" s="1"/>
  <c r="AJ267" i="26"/>
  <c r="P267" i="26" s="1"/>
  <c r="AJ270" i="26"/>
  <c r="P270" i="26" s="1"/>
  <c r="Q270" i="26" s="1"/>
  <c r="AJ273" i="26"/>
  <c r="P273" i="26" s="1"/>
  <c r="AJ251" i="26"/>
  <c r="P251" i="26" s="1"/>
  <c r="Q251" i="26" s="1"/>
  <c r="AJ244" i="26"/>
  <c r="P244" i="26" s="1"/>
  <c r="Q244" i="26" s="1"/>
  <c r="AJ246" i="26"/>
  <c r="P246" i="26" s="1"/>
  <c r="Q246" i="26" s="1"/>
  <c r="AJ248" i="26"/>
  <c r="P248" i="26" s="1"/>
  <c r="AJ250" i="26"/>
  <c r="P250" i="26" s="1"/>
  <c r="AJ242" i="26"/>
  <c r="P242" i="26" s="1"/>
  <c r="AJ233" i="26"/>
  <c r="P233" i="26" s="1"/>
  <c r="Q233" i="26" s="1"/>
  <c r="AJ235" i="26"/>
  <c r="P235" i="26" s="1"/>
  <c r="AJ237" i="26"/>
  <c r="P237" i="26" s="1"/>
  <c r="Q237" i="26" s="1"/>
  <c r="AJ228" i="26"/>
  <c r="P228" i="26" s="1"/>
  <c r="AJ218" i="26"/>
  <c r="P218" i="26" s="1"/>
  <c r="Q218" i="26" s="1"/>
  <c r="AJ220" i="26"/>
  <c r="P220" i="26" s="1"/>
  <c r="AJ222" i="26"/>
  <c r="P222" i="26" s="1"/>
  <c r="AJ224" i="26"/>
  <c r="P224" i="26" s="1"/>
  <c r="AJ227" i="26"/>
  <c r="P227" i="26" s="1"/>
  <c r="Q227" i="26" s="1"/>
  <c r="AJ214" i="26"/>
  <c r="P214" i="26" s="1"/>
  <c r="AJ208" i="26"/>
  <c r="P208" i="26" s="1"/>
  <c r="Q208" i="26" s="1"/>
  <c r="AJ201" i="26"/>
  <c r="P201" i="26" s="1"/>
  <c r="Q201" i="26" s="1"/>
  <c r="AJ204" i="26"/>
  <c r="P204" i="26" s="1"/>
  <c r="Q204" i="26" s="1"/>
  <c r="AJ206" i="26"/>
  <c r="P206" i="26" s="1"/>
  <c r="AJ199" i="26"/>
  <c r="P199" i="26" s="1"/>
  <c r="AJ188" i="26"/>
  <c r="P188" i="26" s="1"/>
  <c r="AJ190" i="26"/>
  <c r="P190" i="26" s="1"/>
  <c r="Q190" i="26" s="1"/>
  <c r="AJ192" i="26"/>
  <c r="P192" i="26" s="1"/>
  <c r="AJ194" i="26"/>
  <c r="P194" i="26" s="1"/>
  <c r="Q194" i="26" s="1"/>
  <c r="AJ196" i="26"/>
  <c r="P196" i="26" s="1"/>
  <c r="AJ198" i="26"/>
  <c r="P198" i="26" s="1"/>
  <c r="Q198" i="26" s="1"/>
  <c r="AJ186" i="26"/>
  <c r="P186" i="26" s="1"/>
  <c r="AJ185" i="26"/>
  <c r="P185" i="26" s="1"/>
  <c r="Q185" i="26" s="1"/>
  <c r="AJ177" i="26"/>
  <c r="P177" i="26" s="1"/>
  <c r="AJ179" i="26"/>
  <c r="P179" i="26" s="1"/>
  <c r="Q179" i="26" s="1"/>
  <c r="AJ183" i="26"/>
  <c r="P183" i="26" s="1"/>
  <c r="AJ175" i="26"/>
  <c r="P175" i="26" s="1"/>
  <c r="Q175" i="26" s="1"/>
  <c r="AJ164" i="26"/>
  <c r="P164" i="26" s="1"/>
  <c r="P160" i="26"/>
  <c r="Q160" i="26" s="1"/>
  <c r="AJ162" i="26"/>
  <c r="P162" i="26" s="1"/>
  <c r="AJ167" i="26"/>
  <c r="P167" i="26" s="1"/>
  <c r="Q167" i="26" s="1"/>
  <c r="AJ169" i="26"/>
  <c r="P169" i="26" s="1"/>
  <c r="AJ156" i="26"/>
  <c r="P156" i="26" s="1"/>
  <c r="Q156" i="26" s="1"/>
  <c r="AJ153" i="26"/>
  <c r="P153" i="26" s="1"/>
  <c r="AJ144" i="26"/>
  <c r="P144" i="26" s="1"/>
  <c r="Q144" i="26" s="1"/>
  <c r="AJ146" i="26"/>
  <c r="P146" i="26" s="1"/>
  <c r="AJ148" i="26"/>
  <c r="P148" i="26" s="1"/>
  <c r="Q148" i="26" s="1"/>
  <c r="AJ150" i="26"/>
  <c r="P150" i="26" s="1"/>
  <c r="AJ154" i="26"/>
  <c r="P154" i="26" s="1"/>
  <c r="Q154" i="26" s="1"/>
  <c r="AJ139" i="26"/>
  <c r="P139" i="26" s="1"/>
  <c r="AJ135" i="26"/>
  <c r="P135" i="26" s="1"/>
  <c r="Q135" i="26" s="1"/>
  <c r="AJ126" i="26"/>
  <c r="P126" i="26" s="1"/>
  <c r="AJ128" i="26"/>
  <c r="P128" i="26" s="1"/>
  <c r="Q128" i="26" s="1"/>
  <c r="AJ130" i="26"/>
  <c r="P130" i="26" s="1"/>
  <c r="AJ132" i="26"/>
  <c r="P132" i="26" s="1"/>
  <c r="Q132" i="26" s="1"/>
  <c r="AJ136" i="26"/>
  <c r="P136" i="26" s="1"/>
  <c r="AJ123" i="26"/>
  <c r="P123" i="26" s="1"/>
  <c r="Q123" i="26" s="1"/>
  <c r="AJ122" i="26"/>
  <c r="P122" i="26" s="1"/>
  <c r="AJ113" i="26"/>
  <c r="P113" i="26" s="1"/>
  <c r="Q113" i="26" s="1"/>
  <c r="AJ117" i="26"/>
  <c r="P117" i="26" s="1"/>
  <c r="AJ112" i="26"/>
  <c r="P112" i="26" s="1"/>
  <c r="Q112" i="26" s="1"/>
  <c r="AJ103" i="26"/>
  <c r="P103" i="26" s="1"/>
  <c r="AJ106" i="26"/>
  <c r="P106" i="26" s="1"/>
  <c r="Q106" i="26" s="1"/>
  <c r="AJ110" i="26"/>
  <c r="P110" i="26" s="1"/>
  <c r="AJ102" i="26"/>
  <c r="P102" i="26" s="1"/>
  <c r="Q102" i="26" s="1"/>
  <c r="AJ91" i="26"/>
  <c r="P91" i="26" s="1"/>
  <c r="AJ93" i="26"/>
  <c r="P93" i="26" s="1"/>
  <c r="Q93" i="26" s="1"/>
  <c r="AJ95" i="26"/>
  <c r="P95" i="26" s="1"/>
  <c r="AJ98" i="26"/>
  <c r="P98" i="26" s="1"/>
  <c r="Q98" i="26" s="1"/>
  <c r="AJ99" i="26"/>
  <c r="P99" i="26" s="1"/>
  <c r="AJ86" i="26"/>
  <c r="P86" i="26" s="1"/>
  <c r="Q86" i="26" s="1"/>
  <c r="AJ83" i="26"/>
  <c r="P83" i="26" s="1"/>
  <c r="AJ84" i="26"/>
  <c r="P84" i="26" s="1"/>
  <c r="Q84" i="26" s="1"/>
  <c r="AJ76" i="26"/>
  <c r="P76" i="26" s="1"/>
  <c r="AJ66" i="26"/>
  <c r="P66" i="26" s="1"/>
  <c r="Q66" i="26" s="1"/>
  <c r="AJ70" i="26"/>
  <c r="P70" i="26" s="1"/>
  <c r="AJ75" i="26"/>
  <c r="P75" i="26" s="1"/>
  <c r="Q75" i="26" s="1"/>
  <c r="AJ63" i="26"/>
  <c r="P63" i="26" s="1"/>
  <c r="AJ51" i="26"/>
  <c r="P51" i="26" s="1"/>
  <c r="Q51" i="26" s="1"/>
  <c r="AJ57" i="26"/>
  <c r="P57" i="26" s="1"/>
  <c r="AJ61" i="26"/>
  <c r="P61" i="26" s="1"/>
  <c r="Q61" i="26" s="1"/>
  <c r="AJ24" i="26"/>
  <c r="P24" i="26" s="1"/>
  <c r="AJ26" i="26"/>
  <c r="P26" i="26" s="1"/>
  <c r="Q26" i="26" s="1"/>
  <c r="AJ31" i="26"/>
  <c r="P31" i="26" s="1"/>
  <c r="AJ34" i="26"/>
  <c r="P34" i="26" s="1"/>
  <c r="Q34" i="26" s="1"/>
  <c r="AJ36" i="26"/>
  <c r="P36" i="26" s="1"/>
  <c r="Q36" i="26" s="1"/>
  <c r="AJ37" i="26"/>
  <c r="P37" i="26" s="1"/>
  <c r="Q37" i="26" s="1"/>
  <c r="AJ23" i="26"/>
  <c r="P23" i="26" s="1"/>
  <c r="AJ14" i="26"/>
  <c r="P14" i="26" s="1"/>
  <c r="Q14" i="26" s="1"/>
  <c r="AJ15" i="26"/>
  <c r="P15" i="26" s="1"/>
  <c r="AJ18" i="26"/>
  <c r="P18" i="26" s="1"/>
  <c r="Q18" i="26" s="1"/>
  <c r="AJ10" i="26"/>
  <c r="P10" i="26" s="1"/>
  <c r="AJ2" i="26"/>
  <c r="P2" i="26" s="1"/>
  <c r="AJ418" i="26"/>
  <c r="AF418" i="26"/>
  <c r="AE418" i="26"/>
  <c r="AD418" i="26"/>
  <c r="AJ417" i="26"/>
  <c r="S417" i="26" s="1"/>
  <c r="AF417" i="26"/>
  <c r="AE417" i="26"/>
  <c r="AD417" i="26"/>
  <c r="AJ416" i="26"/>
  <c r="S416" i="26" s="1"/>
  <c r="AF416" i="26"/>
  <c r="AE416" i="26"/>
  <c r="AD416" i="26"/>
  <c r="AJ415" i="26"/>
  <c r="S415" i="26" s="1"/>
  <c r="AF415" i="26"/>
  <c r="AE415" i="26"/>
  <c r="AD415" i="26"/>
  <c r="AF414" i="26"/>
  <c r="AJ411" i="26"/>
  <c r="AF411" i="26"/>
  <c r="AE411" i="26"/>
  <c r="AD411" i="26"/>
  <c r="AJ410" i="26"/>
  <c r="S410" i="26" s="1"/>
  <c r="AF410" i="26"/>
  <c r="AE410" i="26"/>
  <c r="AD410" i="26"/>
  <c r="AF408" i="26"/>
  <c r="AE408" i="26"/>
  <c r="AD408" i="26"/>
  <c r="AF406" i="26"/>
  <c r="AE406" i="26"/>
  <c r="AD406" i="26"/>
  <c r="AF404" i="26"/>
  <c r="AE404" i="26"/>
  <c r="AD404" i="26"/>
  <c r="AF402" i="26"/>
  <c r="AE402" i="26"/>
  <c r="AD402" i="26"/>
  <c r="AL400" i="26"/>
  <c r="AJ400" i="26"/>
  <c r="AF400" i="26"/>
  <c r="AE400" i="26"/>
  <c r="AD400" i="26"/>
  <c r="U409" i="26"/>
  <c r="T409" i="26"/>
  <c r="P409" i="26"/>
  <c r="U407" i="26"/>
  <c r="T407" i="26"/>
  <c r="P407" i="26"/>
  <c r="U405" i="26"/>
  <c r="T405" i="26"/>
  <c r="P405" i="26"/>
  <c r="U403" i="26"/>
  <c r="T403" i="26"/>
  <c r="P403" i="26"/>
  <c r="U401" i="26"/>
  <c r="T401" i="26"/>
  <c r="R401" i="26"/>
  <c r="AF399" i="26"/>
  <c r="AE399" i="26"/>
  <c r="AD399" i="26"/>
  <c r="AF398" i="26"/>
  <c r="AE398" i="26"/>
  <c r="O398" i="26"/>
  <c r="AL397" i="26"/>
  <c r="AJ397" i="26"/>
  <c r="AF397" i="26"/>
  <c r="AE397" i="26"/>
  <c r="O397" i="26"/>
  <c r="AJ396" i="26"/>
  <c r="S396" i="26" s="1"/>
  <c r="T396" i="26" s="1"/>
  <c r="AF396" i="26"/>
  <c r="AE396" i="26"/>
  <c r="AD396" i="26"/>
  <c r="O396" i="26"/>
  <c r="AF395" i="26"/>
  <c r="AE395" i="26"/>
  <c r="AD395" i="26"/>
  <c r="S395" i="26"/>
  <c r="U395" i="26" s="1"/>
  <c r="O395" i="26"/>
  <c r="AF394" i="26"/>
  <c r="AE394" i="26"/>
  <c r="AD394" i="26"/>
  <c r="S394" i="26"/>
  <c r="U394" i="26" s="1"/>
  <c r="O394" i="26"/>
  <c r="AF389" i="26"/>
  <c r="AD389" i="26"/>
  <c r="O389" i="26"/>
  <c r="AF387" i="26"/>
  <c r="AE387" i="26"/>
  <c r="AD387" i="26"/>
  <c r="O387" i="26"/>
  <c r="AF385" i="26"/>
  <c r="AE385" i="26"/>
  <c r="AD385" i="26"/>
  <c r="O385" i="26"/>
  <c r="AF383" i="26"/>
  <c r="AE383" i="26"/>
  <c r="AD383" i="26"/>
  <c r="U383" i="26"/>
  <c r="O383" i="26"/>
  <c r="AF381" i="26"/>
  <c r="AE381" i="26"/>
  <c r="AD381" i="26"/>
  <c r="S381" i="26"/>
  <c r="T381" i="26" s="1"/>
  <c r="O381" i="26"/>
  <c r="AJ390" i="26"/>
  <c r="T390" i="26" s="1"/>
  <c r="AJ388" i="26"/>
  <c r="U388" i="26" s="1"/>
  <c r="AJ386" i="26"/>
  <c r="U386" i="26" s="1"/>
  <c r="AJ384" i="26"/>
  <c r="U384" i="26" s="1"/>
  <c r="AJ382" i="26"/>
  <c r="T382" i="26" s="1"/>
  <c r="AJ380" i="26"/>
  <c r="U380" i="26" s="1"/>
  <c r="AJ379" i="26"/>
  <c r="S379" i="26" s="1"/>
  <c r="AJ378" i="26"/>
  <c r="S378" i="26" s="1"/>
  <c r="U378" i="26" s="1"/>
  <c r="Z378" i="26"/>
  <c r="AJ376" i="26"/>
  <c r="S376" i="26" s="1"/>
  <c r="Z376" i="26"/>
  <c r="Y376" i="26"/>
  <c r="AJ374" i="26"/>
  <c r="S374" i="26" s="1"/>
  <c r="Z374" i="26"/>
  <c r="Y374" i="26"/>
  <c r="AJ372" i="26"/>
  <c r="S372" i="26" s="1"/>
  <c r="T372" i="26" s="1"/>
  <c r="Z372" i="26"/>
  <c r="Y372" i="26"/>
  <c r="AJ370" i="26"/>
  <c r="S370" i="26" s="1"/>
  <c r="AJ369" i="26"/>
  <c r="S369" i="26" s="1"/>
  <c r="AJ368" i="26"/>
  <c r="S368" i="26" s="1"/>
  <c r="U368" i="26" s="1"/>
  <c r="Z368" i="26"/>
  <c r="AJ366" i="26"/>
  <c r="S366" i="26" s="1"/>
  <c r="Z366" i="26"/>
  <c r="AH364" i="26"/>
  <c r="AJ364" i="26" s="1"/>
  <c r="S364" i="26" s="1"/>
  <c r="AJ362" i="26"/>
  <c r="S362" i="26" s="1"/>
  <c r="T362" i="26" s="1"/>
  <c r="AJ360" i="26"/>
  <c r="S360" i="26" s="1"/>
  <c r="T360" i="26" s="1"/>
  <c r="AJ367" i="26"/>
  <c r="U367" i="26" s="1"/>
  <c r="AJ365" i="26"/>
  <c r="T365" i="26" s="1"/>
  <c r="AJ363" i="26"/>
  <c r="U363" i="26" s="1"/>
  <c r="AJ361" i="26"/>
  <c r="U361" i="26" s="1"/>
  <c r="S358" i="26"/>
  <c r="U358" i="26" s="1"/>
  <c r="Z356" i="26"/>
  <c r="Y356" i="26"/>
  <c r="S356" i="26"/>
  <c r="U356" i="26" s="1"/>
  <c r="Z354" i="26"/>
  <c r="Y354" i="26"/>
  <c r="S354" i="26"/>
  <c r="T354" i="26" s="1"/>
  <c r="Z351" i="26"/>
  <c r="Y351" i="26"/>
  <c r="S350" i="26"/>
  <c r="U357" i="26"/>
  <c r="T357" i="26"/>
  <c r="P357" i="26"/>
  <c r="U355" i="26"/>
  <c r="T355" i="26"/>
  <c r="P355" i="26"/>
  <c r="U352" i="26"/>
  <c r="T352" i="26"/>
  <c r="P352" i="26"/>
  <c r="U349" i="26"/>
  <c r="T349" i="26"/>
  <c r="P349" i="26"/>
  <c r="S348" i="26"/>
  <c r="U348" i="26" s="1"/>
  <c r="Z346" i="26"/>
  <c r="Y346" i="26"/>
  <c r="S346" i="26"/>
  <c r="T346" i="26" s="1"/>
  <c r="Z344" i="26"/>
  <c r="Y344" i="26"/>
  <c r="S344" i="26"/>
  <c r="T344" i="26" s="1"/>
  <c r="Z341" i="26"/>
  <c r="Y341" i="26"/>
  <c r="S341" i="26"/>
  <c r="T341" i="26" s="1"/>
  <c r="S340" i="26"/>
  <c r="T340" i="26" s="1"/>
  <c r="U347" i="26"/>
  <c r="T347" i="26"/>
  <c r="P347" i="26"/>
  <c r="U345" i="26"/>
  <c r="T345" i="26"/>
  <c r="P345" i="26"/>
  <c r="U342" i="26"/>
  <c r="P342" i="26"/>
  <c r="U339" i="26"/>
  <c r="T339" i="26"/>
  <c r="P339" i="26"/>
  <c r="S338" i="26"/>
  <c r="U338" i="26" s="1"/>
  <c r="S335" i="26"/>
  <c r="U335" i="26" s="1"/>
  <c r="S333" i="26"/>
  <c r="S330" i="26"/>
  <c r="T330" i="26" s="1"/>
  <c r="S327" i="26"/>
  <c r="U327" i="26" s="1"/>
  <c r="AJ320" i="26"/>
  <c r="S320" i="26" s="1"/>
  <c r="U336" i="26"/>
  <c r="T336" i="26"/>
  <c r="P336" i="26"/>
  <c r="U334" i="26"/>
  <c r="T334" i="26"/>
  <c r="P334" i="26"/>
  <c r="U331" i="26"/>
  <c r="T331" i="26"/>
  <c r="P331" i="26"/>
  <c r="U329" i="26"/>
  <c r="T329" i="26"/>
  <c r="P329" i="26"/>
  <c r="AJ326" i="26"/>
  <c r="P326" i="26" s="1"/>
  <c r="S319" i="26"/>
  <c r="T319" i="26" s="1"/>
  <c r="S316" i="26"/>
  <c r="U316" i="26" s="1"/>
  <c r="S314" i="26"/>
  <c r="T314" i="26" s="1"/>
  <c r="S311" i="26"/>
  <c r="S310" i="26"/>
  <c r="T310" i="26" s="1"/>
  <c r="S307" i="26"/>
  <c r="U307" i="26" s="1"/>
  <c r="AH300" i="26"/>
  <c r="U317" i="26"/>
  <c r="T317" i="26"/>
  <c r="P317" i="26"/>
  <c r="U315" i="26"/>
  <c r="T315" i="26"/>
  <c r="P315" i="26"/>
  <c r="U312" i="26"/>
  <c r="T312" i="26"/>
  <c r="P312" i="26"/>
  <c r="U309" i="26"/>
  <c r="T309" i="26"/>
  <c r="P309" i="26"/>
  <c r="Q309" i="26" s="1"/>
  <c r="AJ299" i="26"/>
  <c r="S299" i="26" s="1"/>
  <c r="S297" i="26"/>
  <c r="T297" i="26" s="1"/>
  <c r="S295" i="26"/>
  <c r="U295" i="26" s="1"/>
  <c r="S293" i="26"/>
  <c r="U293" i="26" s="1"/>
  <c r="S291" i="26"/>
  <c r="AJ290" i="26"/>
  <c r="S290" i="26" s="1"/>
  <c r="S288" i="26"/>
  <c r="T288" i="26" s="1"/>
  <c r="U298" i="26"/>
  <c r="T298" i="26"/>
  <c r="U296" i="26"/>
  <c r="T296" i="26"/>
  <c r="U294" i="26"/>
  <c r="T294" i="26"/>
  <c r="U292" i="26"/>
  <c r="T292" i="26"/>
  <c r="U289" i="26"/>
  <c r="T289" i="26"/>
  <c r="U287" i="26"/>
  <c r="T287" i="26"/>
  <c r="AJ286" i="26"/>
  <c r="S286" i="26" s="1"/>
  <c r="S284" i="26"/>
  <c r="U284" i="26" s="1"/>
  <c r="S282" i="26"/>
  <c r="U282" i="26" s="1"/>
  <c r="S280" i="26"/>
  <c r="U280" i="26" s="1"/>
  <c r="S278" i="26"/>
  <c r="U278" i="26" s="1"/>
  <c r="AJ277" i="26"/>
  <c r="S277" i="26" s="1"/>
  <c r="S275" i="26"/>
  <c r="U275" i="26" s="1"/>
  <c r="AJ272" i="26"/>
  <c r="S272" i="26" s="1"/>
  <c r="AJ271" i="26"/>
  <c r="S271" i="26" s="1"/>
  <c r="AJ269" i="26"/>
  <c r="S269" i="26" s="1"/>
  <c r="AJ266" i="26"/>
  <c r="S266" i="26" s="1"/>
  <c r="AJ265" i="26"/>
  <c r="S265" i="26" s="1"/>
  <c r="AJ264" i="26"/>
  <c r="S264" i="26" s="1"/>
  <c r="B264" i="26"/>
  <c r="AJ262" i="26"/>
  <c r="S262" i="26" s="1"/>
  <c r="U262" i="26" s="1"/>
  <c r="AJ261" i="26"/>
  <c r="S261" i="26" s="1"/>
  <c r="U261" i="26" s="1"/>
  <c r="AJ260" i="26"/>
  <c r="S260" i="26" s="1"/>
  <c r="U260" i="26" s="1"/>
  <c r="B260" i="26"/>
  <c r="S256" i="26"/>
  <c r="AJ254" i="26"/>
  <c r="S254" i="26" s="1"/>
  <c r="T254" i="26" s="1"/>
  <c r="AJ259" i="26"/>
  <c r="AJ258" i="26"/>
  <c r="AJ257" i="26"/>
  <c r="AJ255" i="26"/>
  <c r="AJ252" i="26"/>
  <c r="AJ268" i="26"/>
  <c r="AJ253" i="26"/>
  <c r="AJ249" i="26"/>
  <c r="S249" i="26" s="1"/>
  <c r="U249" i="26" s="1"/>
  <c r="AJ247" i="26"/>
  <c r="S247" i="26" s="1"/>
  <c r="U247" i="26" s="1"/>
  <c r="AJ245" i="26"/>
  <c r="S245" i="26" s="1"/>
  <c r="U245" i="26" s="1"/>
  <c r="AJ243" i="26"/>
  <c r="S243" i="26" s="1"/>
  <c r="U243" i="26" s="1"/>
  <c r="AJ241" i="26"/>
  <c r="S241" i="26" s="1"/>
  <c r="AJ240" i="26"/>
  <c r="S240" i="26" s="1"/>
  <c r="AJ238" i="26"/>
  <c r="S238" i="26" s="1"/>
  <c r="AJ236" i="26"/>
  <c r="S236" i="26" s="1"/>
  <c r="AJ234" i="26"/>
  <c r="S234" i="26" s="1"/>
  <c r="AJ232" i="26"/>
  <c r="S232" i="26" s="1"/>
  <c r="AJ231" i="26"/>
  <c r="S231" i="26" s="1"/>
  <c r="AJ239" i="26"/>
  <c r="AJ230" i="26"/>
  <c r="AJ226" i="26"/>
  <c r="S226" i="26" s="1"/>
  <c r="AJ225" i="26"/>
  <c r="S225" i="26" s="1"/>
  <c r="AJ223" i="26"/>
  <c r="S223" i="26" s="1"/>
  <c r="U223" i="26" s="1"/>
  <c r="AJ221" i="26"/>
  <c r="S221" i="26" s="1"/>
  <c r="AJ219" i="26"/>
  <c r="S219" i="26" s="1"/>
  <c r="AJ217" i="26"/>
  <c r="S217" i="26" s="1"/>
  <c r="AJ216" i="26"/>
  <c r="S216" i="26" s="1"/>
  <c r="U216" i="26" s="1"/>
  <c r="AJ215" i="26"/>
  <c r="S215" i="26" s="1"/>
  <c r="AJ213" i="26"/>
  <c r="S213" i="26" s="1"/>
  <c r="AJ212" i="26"/>
  <c r="S212" i="26" s="1"/>
  <c r="AJ211" i="26"/>
  <c r="S211" i="26" s="1"/>
  <c r="AJ209" i="26"/>
  <c r="S209" i="26" s="1"/>
  <c r="AJ207" i="26"/>
  <c r="S207" i="26" s="1"/>
  <c r="AJ205" i="26"/>
  <c r="S205" i="26" s="1"/>
  <c r="AJ203" i="26"/>
  <c r="S203" i="26" s="1"/>
  <c r="AJ202" i="26"/>
  <c r="S202" i="26" s="1"/>
  <c r="AJ200" i="26"/>
  <c r="S200" i="26" s="1"/>
  <c r="AJ210" i="26"/>
  <c r="AJ197" i="26"/>
  <c r="S197" i="26" s="1"/>
  <c r="AJ195" i="26"/>
  <c r="S195" i="26" s="1"/>
  <c r="AJ193" i="26"/>
  <c r="S193" i="26" s="1"/>
  <c r="AJ191" i="26"/>
  <c r="S191" i="26" s="1"/>
  <c r="AJ189" i="26"/>
  <c r="S189" i="26" s="1"/>
  <c r="AJ187" i="26"/>
  <c r="S187" i="26" s="1"/>
  <c r="AJ184" i="26"/>
  <c r="S184" i="26" s="1"/>
  <c r="U184" i="26" s="1"/>
  <c r="AJ182" i="26"/>
  <c r="S182" i="26" s="1"/>
  <c r="T182" i="26" s="1"/>
  <c r="AJ181" i="26"/>
  <c r="S181" i="26" s="1"/>
  <c r="U181" i="26" s="1"/>
  <c r="AJ180" i="26"/>
  <c r="S180" i="26" s="1"/>
  <c r="U180" i="26" s="1"/>
  <c r="AJ178" i="26"/>
  <c r="S178" i="26" s="1"/>
  <c r="U178" i="26" s="1"/>
  <c r="AJ176" i="26"/>
  <c r="S176" i="26" s="1"/>
  <c r="T176" i="26" s="1"/>
  <c r="AJ174" i="26"/>
  <c r="S174" i="26" s="1"/>
  <c r="U174" i="26" s="1"/>
  <c r="AJ172" i="26"/>
  <c r="S172" i="26" s="1"/>
  <c r="T172" i="26" s="1"/>
  <c r="AJ170" i="26"/>
  <c r="S170" i="26" s="1"/>
  <c r="U170" i="26" s="1"/>
  <c r="AJ173" i="26"/>
  <c r="AJ171" i="26"/>
  <c r="AJ168" i="26"/>
  <c r="S168" i="26" s="1"/>
  <c r="AJ166" i="26"/>
  <c r="S166" i="26" s="1"/>
  <c r="AJ165" i="26"/>
  <c r="S165" i="26" s="1"/>
  <c r="U165" i="26" s="1"/>
  <c r="AJ163" i="26"/>
  <c r="S163" i="26" s="1"/>
  <c r="U163" i="26" s="1"/>
  <c r="AJ161" i="26"/>
  <c r="S161" i="26" s="1"/>
  <c r="U161" i="26" s="1"/>
  <c r="AJ159" i="26"/>
  <c r="S159" i="26" s="1"/>
  <c r="U159" i="26" s="1"/>
  <c r="AJ158" i="26"/>
  <c r="S158" i="26" s="1"/>
  <c r="U158" i="26" s="1"/>
  <c r="AJ155" i="26"/>
  <c r="S155" i="26" s="1"/>
  <c r="AJ151" i="26"/>
  <c r="S151" i="26" s="1"/>
  <c r="U151" i="26" s="1"/>
  <c r="AJ149" i="26"/>
  <c r="S149" i="26" s="1"/>
  <c r="AJ147" i="26"/>
  <c r="S147" i="26" s="1"/>
  <c r="U147" i="26" s="1"/>
  <c r="AJ145" i="26"/>
  <c r="S145" i="26" s="1"/>
  <c r="U145" i="26" s="1"/>
  <c r="AJ143" i="26"/>
  <c r="S143" i="26" s="1"/>
  <c r="AJ152" i="26"/>
  <c r="AJ142" i="26"/>
  <c r="AJ138" i="26"/>
  <c r="S138" i="26" s="1"/>
  <c r="T138" i="26" s="1"/>
  <c r="AJ137" i="26"/>
  <c r="S137" i="26" s="1"/>
  <c r="AJ133" i="26"/>
  <c r="S133" i="26" s="1"/>
  <c r="T133" i="26" s="1"/>
  <c r="AJ131" i="26"/>
  <c r="S131" i="26" s="1"/>
  <c r="AJ129" i="26"/>
  <c r="S129" i="26" s="1"/>
  <c r="T129" i="26" s="1"/>
  <c r="AJ127" i="26"/>
  <c r="S127" i="26" s="1"/>
  <c r="T127" i="26" s="1"/>
  <c r="AJ125" i="26"/>
  <c r="S125" i="26" s="1"/>
  <c r="AJ134" i="26"/>
  <c r="AJ121" i="26"/>
  <c r="S121" i="26" s="1"/>
  <c r="AJ120" i="26"/>
  <c r="S120" i="26" s="1"/>
  <c r="AJ119" i="26"/>
  <c r="S119" i="26" s="1"/>
  <c r="AJ118" i="26"/>
  <c r="S118" i="26" s="1"/>
  <c r="S116" i="26"/>
  <c r="AJ115" i="26"/>
  <c r="S115" i="26" s="1"/>
  <c r="AJ114" i="26"/>
  <c r="S114" i="26" s="1"/>
  <c r="AJ111" i="26"/>
  <c r="S111" i="26" s="1"/>
  <c r="AJ109" i="26"/>
  <c r="S109" i="26" s="1"/>
  <c r="AJ108" i="26"/>
  <c r="S108" i="26" s="1"/>
  <c r="AJ107" i="26"/>
  <c r="S107" i="26" s="1"/>
  <c r="AJ105" i="26"/>
  <c r="S105" i="26" s="1"/>
  <c r="AJ104" i="26"/>
  <c r="S104" i="26" s="1"/>
  <c r="AJ101" i="26"/>
  <c r="S101" i="26" s="1"/>
  <c r="AJ100" i="26"/>
  <c r="S100" i="26" s="1"/>
  <c r="AJ97" i="26"/>
  <c r="S97" i="26" s="1"/>
  <c r="AJ96" i="26"/>
  <c r="S96" i="26" s="1"/>
  <c r="AJ94" i="26"/>
  <c r="S94" i="26" s="1"/>
  <c r="AJ92" i="26"/>
  <c r="S92" i="26" s="1"/>
  <c r="AJ90" i="26"/>
  <c r="S90" i="26" s="1"/>
  <c r="AJ89" i="26"/>
  <c r="AJ85" i="26"/>
  <c r="S85" i="26" s="1"/>
  <c r="U85" i="26" s="1"/>
  <c r="AJ82" i="26"/>
  <c r="S82" i="26" s="1"/>
  <c r="U82" i="26" s="1"/>
  <c r="AJ81" i="26"/>
  <c r="S81" i="26" s="1"/>
  <c r="U81" i="26" s="1"/>
  <c r="AJ80" i="26"/>
  <c r="S80" i="26" s="1"/>
  <c r="U80" i="26" s="1"/>
  <c r="U79" i="26"/>
  <c r="S79" i="26"/>
  <c r="T79" i="26" s="1"/>
  <c r="U78" i="26"/>
  <c r="S78" i="26"/>
  <c r="T78" i="26" s="1"/>
  <c r="AJ77" i="26"/>
  <c r="S77" i="26" s="1"/>
  <c r="U77" i="26" s="1"/>
  <c r="S74" i="26"/>
  <c r="U74" i="26" s="1"/>
  <c r="S73" i="26"/>
  <c r="U73" i="26" s="1"/>
  <c r="AJ71" i="26"/>
  <c r="S71" i="26" s="1"/>
  <c r="AJ69" i="26"/>
  <c r="S69" i="26" s="1"/>
  <c r="AJ68" i="26"/>
  <c r="S68" i="26" s="1"/>
  <c r="S67" i="26"/>
  <c r="U67" i="26" s="1"/>
  <c r="AJ65" i="26"/>
  <c r="S65" i="26" s="1"/>
  <c r="U65" i="26" s="1"/>
  <c r="AJ64" i="26"/>
  <c r="AJ72" i="26"/>
  <c r="S62" i="26"/>
  <c r="U62" i="26" s="1"/>
  <c r="S60" i="26"/>
  <c r="U60" i="26" s="1"/>
  <c r="AJ59" i="26"/>
  <c r="S59" i="26" s="1"/>
  <c r="U59" i="26" s="1"/>
  <c r="S58" i="26"/>
  <c r="T58" i="26" s="1"/>
  <c r="AJ56" i="26"/>
  <c r="S56" i="26" s="1"/>
  <c r="T56" i="26" s="1"/>
  <c r="AJ55" i="26"/>
  <c r="S55" i="26" s="1"/>
  <c r="S54" i="26"/>
  <c r="T54" i="26" s="1"/>
  <c r="AJ53" i="26"/>
  <c r="S53" i="26" s="1"/>
  <c r="AJ52" i="26"/>
  <c r="AJ49" i="26"/>
  <c r="S49" i="26" s="1"/>
  <c r="U49" i="26" s="1"/>
  <c r="AJ48" i="26"/>
  <c r="S48" i="26" s="1"/>
  <c r="U48" i="26" s="1"/>
  <c r="AJ46" i="26"/>
  <c r="S46" i="26" s="1"/>
  <c r="U46" i="26" s="1"/>
  <c r="AJ45" i="26"/>
  <c r="S45" i="26" s="1"/>
  <c r="U45" i="26" s="1"/>
  <c r="AJ43" i="26"/>
  <c r="S43" i="26" s="1"/>
  <c r="U43" i="26" s="1"/>
  <c r="AJ42" i="26"/>
  <c r="S42" i="26" s="1"/>
  <c r="U42" i="26" s="1"/>
  <c r="AJ41" i="26"/>
  <c r="S41" i="26" s="1"/>
  <c r="U41" i="26" s="1"/>
  <c r="AJ40" i="26"/>
  <c r="S29" i="26"/>
  <c r="U29" i="26" s="1"/>
  <c r="S28" i="26"/>
  <c r="T28" i="26" s="1"/>
  <c r="S27" i="26"/>
  <c r="U27" i="26" s="1"/>
  <c r="S25" i="26"/>
  <c r="U25" i="26" s="1"/>
  <c r="AJ20" i="26"/>
  <c r="S20" i="26" s="1"/>
  <c r="AJ22" i="26"/>
  <c r="S22" i="26" s="1"/>
  <c r="AJ21" i="26"/>
  <c r="S21" i="26" s="1"/>
  <c r="AJ17" i="26"/>
  <c r="S17" i="26" s="1"/>
  <c r="AJ13" i="26"/>
  <c r="S13" i="26" s="1"/>
  <c r="AJ11" i="26"/>
  <c r="S11" i="26" s="1"/>
  <c r="T11" i="26" s="1"/>
  <c r="AJ9" i="26"/>
  <c r="S9" i="26" s="1"/>
  <c r="AJ8" i="26"/>
  <c r="AJ7" i="26"/>
  <c r="U31" i="26" l="1"/>
  <c r="T50" i="26"/>
  <c r="U112" i="26"/>
  <c r="R296" i="26"/>
  <c r="T38" i="26"/>
  <c r="U38" i="26"/>
  <c r="U50" i="26"/>
  <c r="U98" i="26"/>
  <c r="U18" i="26"/>
  <c r="T301" i="26"/>
  <c r="T188" i="26"/>
  <c r="R306" i="26"/>
  <c r="U377" i="26"/>
  <c r="T306" i="26"/>
  <c r="T415" i="26"/>
  <c r="U415" i="26"/>
  <c r="U417" i="26"/>
  <c r="T417" i="26"/>
  <c r="U385" i="26"/>
  <c r="T385" i="26"/>
  <c r="S399" i="26"/>
  <c r="U399" i="26" s="1"/>
  <c r="U416" i="26"/>
  <c r="T416" i="26"/>
  <c r="S418" i="26"/>
  <c r="T418" i="26" s="1"/>
  <c r="T389" i="26"/>
  <c r="U389" i="26"/>
  <c r="AJ300" i="26"/>
  <c r="S300" i="26" s="1"/>
  <c r="S400" i="26"/>
  <c r="U400" i="26" s="1"/>
  <c r="T206" i="26"/>
  <c r="U83" i="26"/>
  <c r="T194" i="26"/>
  <c r="T208" i="26"/>
  <c r="T251" i="26"/>
  <c r="U301" i="26"/>
  <c r="R128" i="26"/>
  <c r="U183" i="26"/>
  <c r="U306" i="26"/>
  <c r="U374" i="26"/>
  <c r="T374" i="26"/>
  <c r="U24" i="26"/>
  <c r="T24" i="26"/>
  <c r="U15" i="26"/>
  <c r="P292" i="26"/>
  <c r="Q292" i="26" s="1"/>
  <c r="U23" i="26"/>
  <c r="U84" i="26"/>
  <c r="T123" i="26"/>
  <c r="T167" i="26"/>
  <c r="T61" i="26"/>
  <c r="T185" i="26"/>
  <c r="U95" i="26"/>
  <c r="T117" i="26"/>
  <c r="T70" i="26"/>
  <c r="T153" i="26"/>
  <c r="T273" i="26"/>
  <c r="U37" i="26"/>
  <c r="T83" i="26"/>
  <c r="U136" i="26"/>
  <c r="U248" i="26"/>
  <c r="T162" i="26"/>
  <c r="U206" i="26"/>
  <c r="P371" i="26"/>
  <c r="Q371" i="26" s="1"/>
  <c r="T57" i="26"/>
  <c r="T371" i="26"/>
  <c r="U162" i="26"/>
  <c r="T37" i="26"/>
  <c r="T136" i="26"/>
  <c r="T248" i="26"/>
  <c r="E33" i="27"/>
  <c r="U410" i="26"/>
  <c r="U273" i="26"/>
  <c r="T95" i="26"/>
  <c r="U70" i="26"/>
  <c r="U117" i="26"/>
  <c r="U153" i="26"/>
  <c r="T214" i="26"/>
  <c r="U214" i="26"/>
  <c r="T126" i="26"/>
  <c r="T192" i="26"/>
  <c r="T235" i="26"/>
  <c r="T279" i="26"/>
  <c r="U126" i="26"/>
  <c r="T183" i="26"/>
  <c r="U192" i="26"/>
  <c r="U235" i="26"/>
  <c r="T36" i="26"/>
  <c r="T196" i="26"/>
  <c r="U36" i="26"/>
  <c r="Q289" i="26"/>
  <c r="R289" i="26"/>
  <c r="P276" i="26"/>
  <c r="Q276" i="26" s="1"/>
  <c r="R352" i="26"/>
  <c r="Q352" i="26"/>
  <c r="T146" i="26"/>
  <c r="R342" i="26"/>
  <c r="Q342" i="26"/>
  <c r="R312" i="26"/>
  <c r="Q312" i="26"/>
  <c r="R334" i="26"/>
  <c r="Q334" i="26"/>
  <c r="Q407" i="26"/>
  <c r="R407" i="26"/>
  <c r="S411" i="26"/>
  <c r="T411" i="26" s="1"/>
  <c r="R326" i="26"/>
  <c r="Q326" i="26"/>
  <c r="R355" i="26"/>
  <c r="Q355" i="26"/>
  <c r="R301" i="26"/>
  <c r="Q301" i="26"/>
  <c r="R329" i="26"/>
  <c r="Q329" i="26"/>
  <c r="R345" i="26"/>
  <c r="Q345" i="26"/>
  <c r="R403" i="26"/>
  <c r="Q403" i="26"/>
  <c r="R317" i="26"/>
  <c r="Q317" i="26"/>
  <c r="R373" i="26"/>
  <c r="Q373" i="26"/>
  <c r="R315" i="26"/>
  <c r="Q315" i="26"/>
  <c r="R336" i="26"/>
  <c r="Q336" i="26"/>
  <c r="R349" i="26"/>
  <c r="Q349" i="26"/>
  <c r="R409" i="26"/>
  <c r="Q409" i="26"/>
  <c r="R339" i="26"/>
  <c r="Q339" i="26"/>
  <c r="R357" i="26"/>
  <c r="Q357" i="26"/>
  <c r="R309" i="26"/>
  <c r="R331" i="26"/>
  <c r="Q331" i="26"/>
  <c r="R347" i="26"/>
  <c r="Q347" i="26"/>
  <c r="R405" i="26"/>
  <c r="Q405" i="26"/>
  <c r="T177" i="26"/>
  <c r="U63" i="26"/>
  <c r="T91" i="26"/>
  <c r="T281" i="26"/>
  <c r="T201" i="26"/>
  <c r="U228" i="26"/>
  <c r="T242" i="26"/>
  <c r="U91" i="26"/>
  <c r="T99" i="26"/>
  <c r="U122" i="26"/>
  <c r="U146" i="26"/>
  <c r="U177" i="26"/>
  <c r="U196" i="26"/>
  <c r="U201" i="26"/>
  <c r="T224" i="26"/>
  <c r="T244" i="26"/>
  <c r="T373" i="26"/>
  <c r="U99" i="26"/>
  <c r="T103" i="26"/>
  <c r="T130" i="26"/>
  <c r="T139" i="26"/>
  <c r="T164" i="26"/>
  <c r="U224" i="26"/>
  <c r="U244" i="26"/>
  <c r="T267" i="26"/>
  <c r="T63" i="26"/>
  <c r="U103" i="26"/>
  <c r="U130" i="26"/>
  <c r="U139" i="26"/>
  <c r="U164" i="26"/>
  <c r="T228" i="26"/>
  <c r="U267" i="26"/>
  <c r="R281" i="26"/>
  <c r="R287" i="26"/>
  <c r="T398" i="26"/>
  <c r="U398" i="26"/>
  <c r="R18" i="26"/>
  <c r="U123" i="26"/>
  <c r="T128" i="26"/>
  <c r="R154" i="26"/>
  <c r="U167" i="26"/>
  <c r="R175" i="26"/>
  <c r="U185" i="26"/>
  <c r="T199" i="26"/>
  <c r="U208" i="26"/>
  <c r="T250" i="26"/>
  <c r="U251" i="26"/>
  <c r="U373" i="26"/>
  <c r="U61" i="26"/>
  <c r="T18" i="26"/>
  <c r="R37" i="26"/>
  <c r="T47" i="26"/>
  <c r="R98" i="26"/>
  <c r="T102" i="26"/>
  <c r="U128" i="26"/>
  <c r="T154" i="26"/>
  <c r="T175" i="26"/>
  <c r="U199" i="26"/>
  <c r="T222" i="26"/>
  <c r="R237" i="26"/>
  <c r="U250" i="26"/>
  <c r="T263" i="26"/>
  <c r="U47" i="26"/>
  <c r="R61" i="26"/>
  <c r="R75" i="26"/>
  <c r="T84" i="26"/>
  <c r="T98" i="26"/>
  <c r="U102" i="26"/>
  <c r="U154" i="26"/>
  <c r="U175" i="26"/>
  <c r="R208" i="26"/>
  <c r="U222" i="26"/>
  <c r="R251" i="26"/>
  <c r="U263" i="26"/>
  <c r="T5" i="26"/>
  <c r="U179" i="26"/>
  <c r="U204" i="26"/>
  <c r="R50" i="26"/>
  <c r="R156" i="26"/>
  <c r="U14" i="26"/>
  <c r="P377" i="26"/>
  <c r="R34" i="26"/>
  <c r="T34" i="26"/>
  <c r="T160" i="26"/>
  <c r="T233" i="26"/>
  <c r="T14" i="26"/>
  <c r="U34" i="26"/>
  <c r="T51" i="26"/>
  <c r="T113" i="26"/>
  <c r="R148" i="26"/>
  <c r="U218" i="26"/>
  <c r="U276" i="26"/>
  <c r="R283" i="26"/>
  <c r="U132" i="26"/>
  <c r="T148" i="26"/>
  <c r="R198" i="26"/>
  <c r="U233" i="26"/>
  <c r="R246" i="26"/>
  <c r="T283" i="26"/>
  <c r="R294" i="26"/>
  <c r="R66" i="26"/>
  <c r="R86" i="26"/>
  <c r="U113" i="26"/>
  <c r="U135" i="26"/>
  <c r="T156" i="26"/>
  <c r="U160" i="26"/>
  <c r="R190" i="26"/>
  <c r="T10" i="26"/>
  <c r="T66" i="26"/>
  <c r="T86" i="26"/>
  <c r="R93" i="26"/>
  <c r="T106" i="26"/>
  <c r="R132" i="26"/>
  <c r="U148" i="26"/>
  <c r="U156" i="26"/>
  <c r="T190" i="26"/>
  <c r="T198" i="26"/>
  <c r="R204" i="26"/>
  <c r="R218" i="26"/>
  <c r="T246" i="26"/>
  <c r="U283" i="26"/>
  <c r="U51" i="26"/>
  <c r="R106" i="26"/>
  <c r="U10" i="26"/>
  <c r="T23" i="26"/>
  <c r="T31" i="26"/>
  <c r="R51" i="26"/>
  <c r="U66" i="26"/>
  <c r="U86" i="26"/>
  <c r="U106" i="26"/>
  <c r="R113" i="26"/>
  <c r="T132" i="26"/>
  <c r="R160" i="26"/>
  <c r="U190" i="26"/>
  <c r="U198" i="26"/>
  <c r="T204" i="26"/>
  <c r="T218" i="26"/>
  <c r="R233" i="26"/>
  <c r="U246" i="26"/>
  <c r="R270" i="26"/>
  <c r="T276" i="26"/>
  <c r="U346" i="26"/>
  <c r="T359" i="26"/>
  <c r="Q103" i="26"/>
  <c r="R103" i="26"/>
  <c r="U58" i="26"/>
  <c r="Q130" i="26"/>
  <c r="R130" i="26"/>
  <c r="Q196" i="26"/>
  <c r="R196" i="26"/>
  <c r="Q228" i="26"/>
  <c r="R228" i="26"/>
  <c r="Q99" i="26"/>
  <c r="R99" i="26"/>
  <c r="P388" i="26"/>
  <c r="U281" i="26"/>
  <c r="Q267" i="26"/>
  <c r="R267" i="26"/>
  <c r="Q164" i="26"/>
  <c r="R164" i="26"/>
  <c r="T181" i="26"/>
  <c r="T284" i="26"/>
  <c r="U326" i="26"/>
  <c r="U354" i="26"/>
  <c r="T356" i="26"/>
  <c r="P363" i="26"/>
  <c r="Q63" i="26"/>
  <c r="R63" i="26"/>
  <c r="Q224" i="26"/>
  <c r="R224" i="26"/>
  <c r="Q146" i="26"/>
  <c r="R146" i="26"/>
  <c r="T30" i="26"/>
  <c r="T295" i="26"/>
  <c r="T327" i="26"/>
  <c r="U396" i="26"/>
  <c r="U172" i="26"/>
  <c r="T247" i="26"/>
  <c r="U314" i="26"/>
  <c r="T243" i="26"/>
  <c r="T293" i="26"/>
  <c r="U310" i="26"/>
  <c r="U340" i="26"/>
  <c r="U217" i="26"/>
  <c r="T217" i="26"/>
  <c r="Q76" i="26"/>
  <c r="R76" i="26"/>
  <c r="U215" i="26"/>
  <c r="T215" i="26"/>
  <c r="Q177" i="26"/>
  <c r="R177" i="26"/>
  <c r="Q242" i="26"/>
  <c r="R242" i="26"/>
  <c r="U168" i="26"/>
  <c r="T168" i="26"/>
  <c r="Q24" i="26"/>
  <c r="R24" i="26"/>
  <c r="Q44" i="26"/>
  <c r="R44" i="26"/>
  <c r="U219" i="26"/>
  <c r="T219" i="26"/>
  <c r="Q91" i="26"/>
  <c r="R91" i="26"/>
  <c r="U221" i="26"/>
  <c r="T221" i="26"/>
  <c r="U226" i="26"/>
  <c r="T226" i="26"/>
  <c r="Q122" i="26"/>
  <c r="R122" i="26"/>
  <c r="Q188" i="26"/>
  <c r="R188" i="26"/>
  <c r="Q169" i="26"/>
  <c r="R169" i="26"/>
  <c r="U225" i="26"/>
  <c r="T225" i="26"/>
  <c r="U166" i="26"/>
  <c r="T166" i="26"/>
  <c r="Q15" i="26"/>
  <c r="R15" i="26"/>
  <c r="Q139" i="26"/>
  <c r="R139" i="26"/>
  <c r="R26" i="26"/>
  <c r="R36" i="26"/>
  <c r="R38" i="26"/>
  <c r="T44" i="26"/>
  <c r="U57" i="26"/>
  <c r="T62" i="26"/>
  <c r="T75" i="26"/>
  <c r="T74" i="26"/>
  <c r="T76" i="26"/>
  <c r="T93" i="26"/>
  <c r="R144" i="26"/>
  <c r="T180" i="26"/>
  <c r="T186" i="26"/>
  <c r="U188" i="26"/>
  <c r="U194" i="26"/>
  <c r="R227" i="26"/>
  <c r="T237" i="26"/>
  <c r="U242" i="26"/>
  <c r="T270" i="26"/>
  <c r="R274" i="26"/>
  <c r="U279" i="26"/>
  <c r="T275" i="26"/>
  <c r="T282" i="26"/>
  <c r="P321" i="26"/>
  <c r="T338" i="26"/>
  <c r="T358" i="26"/>
  <c r="P375" i="26"/>
  <c r="T2" i="26"/>
  <c r="T26" i="26"/>
  <c r="U44" i="26"/>
  <c r="U75" i="26"/>
  <c r="U76" i="26"/>
  <c r="U93" i="26"/>
  <c r="T110" i="26"/>
  <c r="R112" i="26"/>
  <c r="R135" i="26"/>
  <c r="T144" i="26"/>
  <c r="T150" i="26"/>
  <c r="T169" i="26"/>
  <c r="R179" i="26"/>
  <c r="U182" i="26"/>
  <c r="U186" i="26"/>
  <c r="R201" i="26"/>
  <c r="T220" i="26"/>
  <c r="T227" i="26"/>
  <c r="U237" i="26"/>
  <c r="R244" i="26"/>
  <c r="T245" i="26"/>
  <c r="T249" i="26"/>
  <c r="U270" i="26"/>
  <c r="T274" i="26"/>
  <c r="T280" i="26"/>
  <c r="U297" i="26"/>
  <c r="T307" i="26"/>
  <c r="T316" i="26"/>
  <c r="T321" i="26"/>
  <c r="P361" i="26"/>
  <c r="T375" i="26"/>
  <c r="P380" i="26"/>
  <c r="P386" i="26"/>
  <c r="U2" i="26"/>
  <c r="T15" i="26"/>
  <c r="U26" i="26"/>
  <c r="T25" i="26"/>
  <c r="R47" i="26"/>
  <c r="U54" i="26"/>
  <c r="T73" i="26"/>
  <c r="U110" i="26"/>
  <c r="T112" i="26"/>
  <c r="T122" i="26"/>
  <c r="T135" i="26"/>
  <c r="U144" i="26"/>
  <c r="U150" i="26"/>
  <c r="U169" i="26"/>
  <c r="T179" i="26"/>
  <c r="R194" i="26"/>
  <c r="U220" i="26"/>
  <c r="U227" i="26"/>
  <c r="T216" i="26"/>
  <c r="T223" i="26"/>
  <c r="U274" i="26"/>
  <c r="R279" i="26"/>
  <c r="T278" i="26"/>
  <c r="R298" i="26"/>
  <c r="T361" i="26"/>
  <c r="T386" i="26"/>
  <c r="T137" i="26"/>
  <c r="U137" i="26"/>
  <c r="Q57" i="26"/>
  <c r="R57" i="26"/>
  <c r="Q110" i="26"/>
  <c r="R110" i="26"/>
  <c r="Q150" i="26"/>
  <c r="R150" i="26"/>
  <c r="Q186" i="26"/>
  <c r="R186" i="26"/>
  <c r="Q220" i="26"/>
  <c r="R220" i="26"/>
  <c r="T9" i="26"/>
  <c r="U9" i="26"/>
  <c r="Q10" i="26"/>
  <c r="R10" i="26"/>
  <c r="Q70" i="26"/>
  <c r="R70" i="26"/>
  <c r="Q117" i="26"/>
  <c r="R117" i="26"/>
  <c r="Q153" i="26"/>
  <c r="R153" i="26"/>
  <c r="Q192" i="26"/>
  <c r="R192" i="26"/>
  <c r="Q235" i="26"/>
  <c r="R235" i="26"/>
  <c r="T125" i="26"/>
  <c r="U125" i="26"/>
  <c r="T55" i="26"/>
  <c r="U55" i="26"/>
  <c r="T277" i="26"/>
  <c r="U277" i="26"/>
  <c r="U53" i="26"/>
  <c r="T53" i="26"/>
  <c r="T256" i="26"/>
  <c r="U256" i="26"/>
  <c r="T320" i="26"/>
  <c r="U320" i="26"/>
  <c r="Q23" i="26"/>
  <c r="R23" i="26"/>
  <c r="Q83" i="26"/>
  <c r="R83" i="26"/>
  <c r="Q136" i="26"/>
  <c r="R136" i="26"/>
  <c r="Q162" i="26"/>
  <c r="R162" i="26"/>
  <c r="Q206" i="26"/>
  <c r="R206" i="26"/>
  <c r="Q248" i="26"/>
  <c r="R248" i="26"/>
  <c r="T13" i="26"/>
  <c r="U13" i="26"/>
  <c r="U143" i="26"/>
  <c r="T143" i="26"/>
  <c r="U155" i="26"/>
  <c r="T155" i="26"/>
  <c r="Q31" i="26"/>
  <c r="R31" i="26"/>
  <c r="Q95" i="26"/>
  <c r="R95" i="26"/>
  <c r="Q126" i="26"/>
  <c r="R126" i="26"/>
  <c r="Q183" i="26"/>
  <c r="R183" i="26"/>
  <c r="Q214" i="26"/>
  <c r="R214" i="26"/>
  <c r="Q273" i="26"/>
  <c r="R273" i="26"/>
  <c r="T77" i="26"/>
  <c r="T158" i="26"/>
  <c r="T159" i="26"/>
  <c r="T161" i="26"/>
  <c r="T163" i="26"/>
  <c r="T165" i="26"/>
  <c r="T174" i="26"/>
  <c r="T260" i="26"/>
  <c r="T261" i="26"/>
  <c r="T262" i="26"/>
  <c r="T387" i="26"/>
  <c r="U11" i="26"/>
  <c r="U28" i="26"/>
  <c r="U33" i="26"/>
  <c r="U133" i="26"/>
  <c r="T151" i="26"/>
  <c r="U254" i="26"/>
  <c r="T326" i="26"/>
  <c r="U344" i="26"/>
  <c r="P367" i="26"/>
  <c r="P384" i="26"/>
  <c r="T395" i="26"/>
  <c r="T32" i="26"/>
  <c r="T335" i="26"/>
  <c r="T348" i="26"/>
  <c r="T367" i="26"/>
  <c r="T384" i="26"/>
  <c r="T410" i="26"/>
  <c r="T27" i="26"/>
  <c r="U56" i="26"/>
  <c r="U127" i="26"/>
  <c r="T145" i="26"/>
  <c r="U176" i="26"/>
  <c r="U288" i="26"/>
  <c r="U319" i="26"/>
  <c r="U330" i="26"/>
  <c r="S397" i="26"/>
  <c r="U397" i="26" s="1"/>
  <c r="T69" i="26"/>
  <c r="U69" i="26"/>
  <c r="T97" i="26"/>
  <c r="U97" i="26"/>
  <c r="T114" i="26"/>
  <c r="U114" i="26"/>
  <c r="U149" i="26"/>
  <c r="T149" i="26"/>
  <c r="U205" i="26"/>
  <c r="T205" i="26"/>
  <c r="T22" i="26"/>
  <c r="U22" i="26"/>
  <c r="U100" i="26"/>
  <c r="T100" i="26"/>
  <c r="T120" i="26"/>
  <c r="U120" i="26"/>
  <c r="U202" i="26"/>
  <c r="T202" i="26"/>
  <c r="U21" i="26"/>
  <c r="T21" i="26"/>
  <c r="U90" i="26"/>
  <c r="T90" i="26"/>
  <c r="U119" i="26"/>
  <c r="T119" i="26"/>
  <c r="T131" i="26"/>
  <c r="U131" i="26"/>
  <c r="U101" i="26"/>
  <c r="T101" i="26"/>
  <c r="U115" i="26"/>
  <c r="T115" i="26"/>
  <c r="U94" i="26"/>
  <c r="T94" i="26"/>
  <c r="U104" i="26"/>
  <c r="T104" i="26"/>
  <c r="T116" i="26"/>
  <c r="U116" i="26"/>
  <c r="U121" i="26"/>
  <c r="T121" i="26"/>
  <c r="U212" i="26"/>
  <c r="T212" i="26"/>
  <c r="U107" i="26"/>
  <c r="T107" i="26"/>
  <c r="U71" i="26"/>
  <c r="T71" i="26"/>
  <c r="T92" i="26"/>
  <c r="U92" i="26"/>
  <c r="U108" i="26"/>
  <c r="T108" i="26"/>
  <c r="T20" i="26"/>
  <c r="U20" i="26"/>
  <c r="T109" i="26"/>
  <c r="U109" i="26"/>
  <c r="U17" i="26"/>
  <c r="T17" i="26"/>
  <c r="U68" i="26"/>
  <c r="T68" i="26"/>
  <c r="U96" i="26"/>
  <c r="T96" i="26"/>
  <c r="T105" i="26"/>
  <c r="U105" i="26"/>
  <c r="U111" i="26"/>
  <c r="T111" i="26"/>
  <c r="U118" i="26"/>
  <c r="T118" i="26"/>
  <c r="U209" i="26"/>
  <c r="T209" i="26"/>
  <c r="U193" i="26"/>
  <c r="T193" i="26"/>
  <c r="U240" i="26"/>
  <c r="T240" i="26"/>
  <c r="U271" i="26"/>
  <c r="T271" i="26"/>
  <c r="T350" i="26"/>
  <c r="U350" i="26"/>
  <c r="U376" i="26"/>
  <c r="T376" i="26"/>
  <c r="P285" i="26"/>
  <c r="U285" i="26"/>
  <c r="T285" i="26"/>
  <c r="R123" i="26"/>
  <c r="R185" i="26"/>
  <c r="U200" i="26"/>
  <c r="T200" i="26"/>
  <c r="U203" i="26"/>
  <c r="T203" i="26"/>
  <c r="U207" i="26"/>
  <c r="T207" i="26"/>
  <c r="U211" i="26"/>
  <c r="T211" i="26"/>
  <c r="U213" i="26"/>
  <c r="T213" i="26"/>
  <c r="R263" i="26"/>
  <c r="U265" i="26"/>
  <c r="T265" i="26"/>
  <c r="U272" i="26"/>
  <c r="T272" i="26"/>
  <c r="U290" i="26"/>
  <c r="T290" i="26"/>
  <c r="U333" i="26"/>
  <c r="T333" i="26"/>
  <c r="U189" i="26"/>
  <c r="T189" i="26"/>
  <c r="U232" i="26"/>
  <c r="T232" i="26"/>
  <c r="U264" i="26"/>
  <c r="T264" i="26"/>
  <c r="R84" i="26"/>
  <c r="R102" i="26"/>
  <c r="T29" i="26"/>
  <c r="T35" i="26"/>
  <c r="T41" i="26"/>
  <c r="T42" i="26"/>
  <c r="T43" i="26"/>
  <c r="T45" i="26"/>
  <c r="T46" i="26"/>
  <c r="T48" i="26"/>
  <c r="T49" i="26"/>
  <c r="T59" i="26"/>
  <c r="T60" i="26"/>
  <c r="T65" i="26"/>
  <c r="T67" i="26"/>
  <c r="T80" i="26"/>
  <c r="T81" i="26"/>
  <c r="T82" i="26"/>
  <c r="T85" i="26"/>
  <c r="T170" i="26"/>
  <c r="T178" i="26"/>
  <c r="T184" i="26"/>
  <c r="U187" i="26"/>
  <c r="T187" i="26"/>
  <c r="U191" i="26"/>
  <c r="T191" i="26"/>
  <c r="U195" i="26"/>
  <c r="T195" i="26"/>
  <c r="U231" i="26"/>
  <c r="T231" i="26"/>
  <c r="U234" i="26"/>
  <c r="T234" i="26"/>
  <c r="U238" i="26"/>
  <c r="T238" i="26"/>
  <c r="U241" i="26"/>
  <c r="T241" i="26"/>
  <c r="U266" i="26"/>
  <c r="T266" i="26"/>
  <c r="U341" i="26"/>
  <c r="U197" i="26"/>
  <c r="T197" i="26"/>
  <c r="U236" i="26"/>
  <c r="T236" i="26"/>
  <c r="U286" i="26"/>
  <c r="T286" i="26"/>
  <c r="U299" i="26"/>
  <c r="T299" i="26"/>
  <c r="U311" i="26"/>
  <c r="T311" i="26"/>
  <c r="U366" i="26"/>
  <c r="T366" i="26"/>
  <c r="Q199" i="26"/>
  <c r="R199" i="26"/>
  <c r="Q222" i="26"/>
  <c r="R222" i="26"/>
  <c r="Q250" i="26"/>
  <c r="R250" i="26"/>
  <c r="R14" i="26"/>
  <c r="U129" i="26"/>
  <c r="U138" i="26"/>
  <c r="T147" i="26"/>
  <c r="R167" i="26"/>
  <c r="U269" i="26"/>
  <c r="T269" i="26"/>
  <c r="U291" i="26"/>
  <c r="T291" i="26"/>
  <c r="U351" i="26"/>
  <c r="T351" i="26"/>
  <c r="T364" i="26"/>
  <c r="U364" i="26"/>
  <c r="U369" i="26"/>
  <c r="T369" i="26"/>
  <c r="U372" i="26"/>
  <c r="U379" i="26"/>
  <c r="T379" i="26"/>
  <c r="U370" i="26"/>
  <c r="T370" i="26"/>
  <c r="Q2" i="26"/>
  <c r="R2" i="26"/>
  <c r="U365" i="26"/>
  <c r="U360" i="26"/>
  <c r="U362" i="26"/>
  <c r="U382" i="26"/>
  <c r="U390" i="26"/>
  <c r="U381" i="26"/>
  <c r="T363" i="26"/>
  <c r="P365" i="26"/>
  <c r="T368" i="26"/>
  <c r="T378" i="26"/>
  <c r="T380" i="26"/>
  <c r="P382" i="26"/>
  <c r="T388" i="26"/>
  <c r="P390" i="26"/>
  <c r="T383" i="26"/>
  <c r="T394" i="26"/>
  <c r="T399" i="26" l="1"/>
  <c r="U418" i="26"/>
  <c r="R292" i="26"/>
  <c r="T300" i="26"/>
  <c r="U300" i="26"/>
  <c r="R371" i="26"/>
  <c r="R276" i="26"/>
  <c r="U411" i="26"/>
  <c r="T400" i="26"/>
  <c r="R386" i="26"/>
  <c r="Q386" i="26"/>
  <c r="R388" i="26"/>
  <c r="Q388" i="26"/>
  <c r="R382" i="26"/>
  <c r="Q382" i="26"/>
  <c r="R380" i="26"/>
  <c r="Q380" i="26"/>
  <c r="R367" i="26"/>
  <c r="Q367" i="26"/>
  <c r="R375" i="26"/>
  <c r="Q375" i="26"/>
  <c r="R377" i="26"/>
  <c r="Q377" i="26"/>
  <c r="R361" i="26"/>
  <c r="Q361" i="26"/>
  <c r="R384" i="26"/>
  <c r="Q384" i="26"/>
  <c r="R363" i="26"/>
  <c r="Q363" i="26"/>
  <c r="R365" i="26"/>
  <c r="Q365" i="26"/>
  <c r="R321" i="26"/>
  <c r="Q321" i="26"/>
  <c r="R390" i="26"/>
  <c r="Q390" i="26"/>
  <c r="T397" i="26"/>
  <c r="Q285" i="26"/>
  <c r="R285" i="2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kafuchs</author>
    <author>Kathrin Fuchs</author>
    <author>tc={916EBFAF-870E-4796-8EBE-C0B6088AB8CB}</author>
    <author>tc={89E98B5A-B022-4CAD-BF4E-CF6B9BE65D0C}</author>
    <author>tc={83D4303A-4AF9-4441-B530-0F952A6988EE}</author>
    <author>Feigenwinter  Iris</author>
    <author>tc={EEBBEFAB-1C8B-4CEC-BA26-589EA939A569}</author>
    <author>tc={4F4AFCF3-1940-499E-9418-61209FA901A9}</author>
    <author>tc={4D46A692-9A8E-478D-A19C-A28020EDC02F}</author>
    <author>tc={F695D22C-942B-4E7E-BDF6-48F67A3ED898}</author>
    <author>tc={7F2E38F9-4CCE-4B7A-8087-C7D8D67BA38A}</author>
    <author>tc={87F55534-5608-41A8-B257-556B5941C689}</author>
    <author>tc={310F2C12-74C5-4E9A-A375-F28A298B9814}</author>
    <author>tc={E6D68A0B-8E53-4CFF-AE75-2C5D7AB7832E}</author>
    <author>tc={08DEEBA3-942D-4339-9850-8A7FD5015583}</author>
    <author>tc={85708D15-653B-451F-A438-9CCF12E888AD}</author>
    <author>tc={E893FC4A-40D6-48B6-BD75-19E690C67022}</author>
    <author>tc={75247B03-15DB-4927-85FB-FE4892F722E9}</author>
    <author>tc={A8EA69F5-9E1D-4CEC-8C59-57AD2984B505}</author>
    <author>tc={0702B0E6-25EB-4D20-9FC2-1B9B0B026DCC}</author>
    <author>tc={8086F09C-83BE-4F83-BA0E-D73E6F65E1B3}</author>
    <author>tc={64068B4A-0361-494D-B372-3EE6B3265831}</author>
    <author>tc={528DC9E4-3599-48CA-8504-BFC4B557B2DE}</author>
    <author>tc={6637C02C-F663-4643-B137-E7225EEDF015}</author>
    <author>tc={FD4C3258-FB14-42DE-AAC4-6CEF7D7C41DC}</author>
    <author>tc={A883F372-B375-4F24-8D9A-D1ADE9A8E5C2}</author>
    <author>tc={C6276C91-354E-4269-830D-04A426CCFC4E}</author>
  </authors>
  <commentList>
    <comment ref="AH5" authorId="0" shapeId="0" xr:uid="{00000000-0006-0000-0000-000001000000}">
      <text>
        <r>
          <rPr>
            <b/>
            <sz val="9"/>
            <color indexed="81"/>
            <rFont val="Calibri"/>
            <family val="2"/>
          </rPr>
          <t>kafuchs:</t>
        </r>
        <r>
          <rPr>
            <sz val="9"/>
            <color indexed="81"/>
            <rFont val="Calibri"/>
            <family val="2"/>
          </rPr>
          <t xml:space="preserve">
Expert estimate
</t>
        </r>
      </text>
    </comment>
    <comment ref="H19" authorId="0" shapeId="0" xr:uid="{00000000-0006-0000-0000-000002000000}">
      <text>
        <r>
          <rPr>
            <b/>
            <sz val="9"/>
            <color indexed="81"/>
            <rFont val="Calibri"/>
            <family val="2"/>
          </rPr>
          <t>kafuchs:</t>
        </r>
        <r>
          <rPr>
            <sz val="9"/>
            <color indexed="81"/>
            <rFont val="Calibri"/>
            <family val="2"/>
          </rPr>
          <t xml:space="preserve">
Expert estimate</t>
        </r>
      </text>
    </comment>
    <comment ref="H20" authorId="0" shapeId="0" xr:uid="{00000000-0006-0000-0000-000003000000}">
      <text>
        <r>
          <rPr>
            <b/>
            <sz val="9"/>
            <color indexed="81"/>
            <rFont val="Calibri"/>
            <family val="2"/>
          </rPr>
          <t>kafuchs:</t>
        </r>
        <r>
          <rPr>
            <sz val="9"/>
            <color indexed="81"/>
            <rFont val="Calibri"/>
            <family val="2"/>
          </rPr>
          <t xml:space="preserve">
Expert guess
</t>
        </r>
      </text>
    </comment>
    <comment ref="I20" authorId="0" shapeId="0" xr:uid="{00000000-0006-0000-0000-000004000000}">
      <text>
        <r>
          <rPr>
            <b/>
            <sz val="9"/>
            <color indexed="81"/>
            <rFont val="Calibri"/>
            <family val="2"/>
          </rPr>
          <t>kafuchs:</t>
        </r>
        <r>
          <rPr>
            <sz val="9"/>
            <color indexed="81"/>
            <rFont val="Calibri"/>
            <family val="2"/>
          </rPr>
          <t xml:space="preserve">
Expert guess
</t>
        </r>
      </text>
    </comment>
    <comment ref="AH20" authorId="0" shapeId="0" xr:uid="{00000000-0006-0000-0000-000005000000}">
      <text>
        <r>
          <rPr>
            <b/>
            <sz val="9"/>
            <color indexed="81"/>
            <rFont val="Calibri"/>
            <family val="2"/>
          </rPr>
          <t>kafuchs:</t>
        </r>
        <r>
          <rPr>
            <sz val="9"/>
            <color indexed="81"/>
            <rFont val="Calibri"/>
            <family val="2"/>
          </rPr>
          <t xml:space="preserve">
Expert estimate</t>
        </r>
      </text>
    </comment>
    <comment ref="AL20" authorId="0" shapeId="0" xr:uid="{00000000-0006-0000-0000-000006000000}">
      <text>
        <r>
          <rPr>
            <b/>
            <sz val="9"/>
            <color indexed="81"/>
            <rFont val="Calibri"/>
            <family val="2"/>
          </rPr>
          <t>kafuchs:</t>
        </r>
        <r>
          <rPr>
            <sz val="9"/>
            <color indexed="81"/>
            <rFont val="Calibri"/>
            <family val="2"/>
          </rPr>
          <t xml:space="preserve">
Expert estimate</t>
        </r>
      </text>
    </comment>
    <comment ref="I58" authorId="0" shapeId="0" xr:uid="{00000000-0006-0000-0000-000007000000}">
      <text>
        <r>
          <rPr>
            <b/>
            <sz val="9"/>
            <color rgb="FF000000"/>
            <rFont val="Calibri"/>
            <family val="2"/>
          </rPr>
          <t>kafuchs:</t>
        </r>
        <r>
          <rPr>
            <sz val="9"/>
            <color rgb="FF000000"/>
            <rFont val="Calibri"/>
            <family val="2"/>
          </rPr>
          <t xml:space="preserve">
</t>
        </r>
        <r>
          <rPr>
            <sz val="9"/>
            <color rgb="FF000000"/>
            <rFont val="Calibri"/>
            <family val="2"/>
          </rPr>
          <t xml:space="preserve">Expert estimate
</t>
        </r>
      </text>
    </comment>
    <comment ref="AL58" authorId="0" shapeId="0" xr:uid="{00000000-0006-0000-0000-000008000000}">
      <text>
        <r>
          <rPr>
            <b/>
            <sz val="9"/>
            <color indexed="81"/>
            <rFont val="Calibri"/>
            <family val="2"/>
          </rPr>
          <t>kafuchs:</t>
        </r>
        <r>
          <rPr>
            <sz val="9"/>
            <color indexed="81"/>
            <rFont val="Calibri"/>
            <family val="2"/>
          </rPr>
          <t xml:space="preserve">
Expert estimate</t>
        </r>
      </text>
    </comment>
    <comment ref="H62" authorId="0" shapeId="0" xr:uid="{00000000-0006-0000-0000-000009000000}">
      <text>
        <r>
          <rPr>
            <b/>
            <sz val="9"/>
            <color indexed="81"/>
            <rFont val="Calibri"/>
            <family val="2"/>
          </rPr>
          <t>kafuchs:</t>
        </r>
        <r>
          <rPr>
            <sz val="9"/>
            <color indexed="81"/>
            <rFont val="Calibri"/>
            <family val="2"/>
          </rPr>
          <t xml:space="preserve">
Expert estimate
</t>
        </r>
      </text>
    </comment>
    <comment ref="I62" authorId="0" shapeId="0" xr:uid="{00000000-0006-0000-0000-00000A000000}">
      <text>
        <r>
          <rPr>
            <b/>
            <sz val="9"/>
            <color indexed="81"/>
            <rFont val="Calibri"/>
            <family val="2"/>
          </rPr>
          <t>kafuchs:</t>
        </r>
        <r>
          <rPr>
            <sz val="9"/>
            <color indexed="81"/>
            <rFont val="Calibri"/>
            <family val="2"/>
          </rPr>
          <t xml:space="preserve">
Expert estimate
</t>
        </r>
      </text>
    </comment>
    <comment ref="AL62" authorId="0" shapeId="0" xr:uid="{00000000-0006-0000-0000-00000B000000}">
      <text>
        <r>
          <rPr>
            <b/>
            <sz val="9"/>
            <color indexed="81"/>
            <rFont val="Calibri"/>
            <family val="2"/>
          </rPr>
          <t>kafuchs:</t>
        </r>
        <r>
          <rPr>
            <sz val="9"/>
            <color indexed="81"/>
            <rFont val="Calibri"/>
            <family val="2"/>
          </rPr>
          <t xml:space="preserve">
Expert estimate</t>
        </r>
      </text>
    </comment>
    <comment ref="H74" authorId="0" shapeId="0" xr:uid="{00000000-0006-0000-0000-00000C000000}">
      <text>
        <r>
          <rPr>
            <b/>
            <sz val="9"/>
            <color indexed="81"/>
            <rFont val="Calibri"/>
            <family val="2"/>
          </rPr>
          <t>kafuchs:</t>
        </r>
        <r>
          <rPr>
            <sz val="9"/>
            <color indexed="81"/>
            <rFont val="Calibri"/>
            <family val="2"/>
          </rPr>
          <t xml:space="preserve">
Expert estimate
</t>
        </r>
      </text>
    </comment>
    <comment ref="I74" authorId="0" shapeId="0" xr:uid="{00000000-0006-0000-0000-00000D000000}">
      <text>
        <r>
          <rPr>
            <b/>
            <sz val="9"/>
            <color indexed="81"/>
            <rFont val="Calibri"/>
            <family val="2"/>
          </rPr>
          <t>kafuchs:</t>
        </r>
        <r>
          <rPr>
            <sz val="9"/>
            <color indexed="81"/>
            <rFont val="Calibri"/>
            <family val="2"/>
          </rPr>
          <t xml:space="preserve">
Expert estimate
</t>
        </r>
      </text>
    </comment>
    <comment ref="AL74" authorId="0" shapeId="0" xr:uid="{00000000-0006-0000-0000-00000E000000}">
      <text>
        <r>
          <rPr>
            <b/>
            <sz val="9"/>
            <color indexed="81"/>
            <rFont val="Calibri"/>
            <family val="2"/>
          </rPr>
          <t>kafuchs:</t>
        </r>
        <r>
          <rPr>
            <sz val="9"/>
            <color indexed="81"/>
            <rFont val="Calibri"/>
            <family val="2"/>
          </rPr>
          <t xml:space="preserve">
Expert estimate</t>
        </r>
      </text>
    </comment>
    <comment ref="I79" authorId="1" shapeId="0" xr:uid="{00000000-0006-0000-0000-00000F000000}">
      <text>
        <r>
          <rPr>
            <b/>
            <sz val="10"/>
            <color indexed="81"/>
            <rFont val="Calibri"/>
            <family val="2"/>
          </rPr>
          <t>Kathrin Fuchs:</t>
        </r>
        <r>
          <rPr>
            <sz val="10"/>
            <color indexed="81"/>
            <rFont val="Calibri"/>
            <family val="2"/>
          </rPr>
          <t xml:space="preserve">
Expert guess
</t>
        </r>
      </text>
    </comment>
    <comment ref="AL79" authorId="1" shapeId="0" xr:uid="{00000000-0006-0000-0000-000010000000}">
      <text>
        <r>
          <rPr>
            <b/>
            <sz val="10"/>
            <color indexed="81"/>
            <rFont val="Calibri"/>
            <family val="2"/>
          </rPr>
          <t>Kathrin Fuchs:</t>
        </r>
        <r>
          <rPr>
            <sz val="10"/>
            <color indexed="81"/>
            <rFont val="Calibri"/>
            <family val="2"/>
          </rPr>
          <t xml:space="preserve">
Expert guess</t>
        </r>
      </text>
    </comment>
    <comment ref="H85" authorId="0" shapeId="0" xr:uid="{00000000-0006-0000-0000-000011000000}">
      <text>
        <r>
          <rPr>
            <b/>
            <sz val="9"/>
            <color indexed="81"/>
            <rFont val="Calibri"/>
            <family val="2"/>
          </rPr>
          <t>kafuchs:</t>
        </r>
        <r>
          <rPr>
            <sz val="9"/>
            <color indexed="81"/>
            <rFont val="Calibri"/>
            <family val="2"/>
          </rPr>
          <t xml:space="preserve">
Only November known, 15th Nov is estimated
</t>
        </r>
      </text>
    </comment>
    <comment ref="I85" authorId="0" shapeId="0" xr:uid="{00000000-0006-0000-0000-000012000000}">
      <text>
        <r>
          <rPr>
            <b/>
            <sz val="9"/>
            <color indexed="81"/>
            <rFont val="Calibri"/>
            <family val="2"/>
          </rPr>
          <t>kafuchs:</t>
        </r>
        <r>
          <rPr>
            <sz val="9"/>
            <color indexed="81"/>
            <rFont val="Calibri"/>
            <family val="2"/>
          </rPr>
          <t xml:space="preserve">
Only December known, 15th is estimated
</t>
        </r>
      </text>
    </comment>
    <comment ref="AH85" authorId="0" shapeId="0" xr:uid="{00000000-0006-0000-0000-000013000000}">
      <text>
        <r>
          <rPr>
            <b/>
            <sz val="9"/>
            <color indexed="81"/>
            <rFont val="Calibri"/>
            <family val="2"/>
          </rPr>
          <t>kafuchs:</t>
        </r>
        <r>
          <rPr>
            <sz val="9"/>
            <color indexed="81"/>
            <rFont val="Calibri"/>
            <family val="2"/>
          </rPr>
          <t xml:space="preserve">
Expert estimate</t>
        </r>
      </text>
    </comment>
    <comment ref="AL85" authorId="0" shapeId="0" xr:uid="{00000000-0006-0000-0000-000014000000}">
      <text>
        <r>
          <rPr>
            <b/>
            <sz val="9"/>
            <color indexed="81"/>
            <rFont val="Calibri"/>
            <family val="2"/>
          </rPr>
          <t>kafuchs:</t>
        </r>
        <r>
          <rPr>
            <sz val="9"/>
            <color indexed="81"/>
            <rFont val="Calibri"/>
            <family val="2"/>
          </rPr>
          <t xml:space="preserve">
Expert estimate</t>
        </r>
      </text>
    </comment>
    <comment ref="H87" authorId="0" shapeId="0" xr:uid="{00000000-0006-0000-0000-000015000000}">
      <text>
        <r>
          <rPr>
            <b/>
            <sz val="9"/>
            <color indexed="81"/>
            <rFont val="Calibri"/>
            <family val="2"/>
          </rPr>
          <t>kafuchs:</t>
        </r>
        <r>
          <rPr>
            <sz val="9"/>
            <color indexed="81"/>
            <rFont val="Calibri"/>
            <family val="2"/>
          </rPr>
          <t xml:space="preserve">
Expert opinion
</t>
        </r>
      </text>
    </comment>
    <comment ref="H88" authorId="0" shapeId="0" xr:uid="{00000000-0006-0000-0000-000016000000}">
      <text>
        <r>
          <rPr>
            <b/>
            <sz val="9"/>
            <color indexed="81"/>
            <rFont val="Calibri"/>
            <family val="2"/>
          </rPr>
          <t>kafuchs:</t>
        </r>
        <r>
          <rPr>
            <sz val="9"/>
            <color indexed="81"/>
            <rFont val="Calibri"/>
            <family val="2"/>
          </rPr>
          <t xml:space="preserve">
Expert opinion</t>
        </r>
      </text>
    </comment>
    <comment ref="H100" authorId="0" shapeId="0" xr:uid="{00000000-0006-0000-0000-000017000000}">
      <text>
        <r>
          <rPr>
            <b/>
            <sz val="9"/>
            <color indexed="81"/>
            <rFont val="Calibri"/>
            <family val="2"/>
          </rPr>
          <t>kafuchs:</t>
        </r>
        <r>
          <rPr>
            <sz val="9"/>
            <color indexed="81"/>
            <rFont val="Calibri"/>
            <family val="2"/>
          </rPr>
          <t xml:space="preserve">
Only November known, 15th  is estimated
</t>
        </r>
      </text>
    </comment>
    <comment ref="I100" authorId="0" shapeId="0" xr:uid="{00000000-0006-0000-0000-000018000000}">
      <text>
        <r>
          <rPr>
            <b/>
            <sz val="9"/>
            <color indexed="81"/>
            <rFont val="Calibri"/>
            <family val="2"/>
          </rPr>
          <t>kafuchs:</t>
        </r>
        <r>
          <rPr>
            <sz val="9"/>
            <color indexed="81"/>
            <rFont val="Calibri"/>
            <family val="2"/>
          </rPr>
          <t xml:space="preserve">
Only December known, 15th is estimated
</t>
        </r>
      </text>
    </comment>
    <comment ref="AH100" authorId="0" shapeId="0" xr:uid="{00000000-0006-0000-0000-000019000000}">
      <text>
        <r>
          <rPr>
            <b/>
            <sz val="9"/>
            <color indexed="81"/>
            <rFont val="Calibri"/>
            <family val="2"/>
          </rPr>
          <t>kafuchs:</t>
        </r>
        <r>
          <rPr>
            <sz val="9"/>
            <color indexed="81"/>
            <rFont val="Calibri"/>
            <family val="2"/>
          </rPr>
          <t xml:space="preserve">
Expert estimate</t>
        </r>
      </text>
    </comment>
    <comment ref="AL100" authorId="0" shapeId="0" xr:uid="{00000000-0006-0000-0000-00001A000000}">
      <text>
        <r>
          <rPr>
            <b/>
            <sz val="9"/>
            <color indexed="81"/>
            <rFont val="Calibri"/>
            <family val="2"/>
          </rPr>
          <t>kafuchs:</t>
        </r>
        <r>
          <rPr>
            <sz val="9"/>
            <color indexed="81"/>
            <rFont val="Calibri"/>
            <family val="2"/>
          </rPr>
          <t xml:space="preserve">
Expert estimate</t>
        </r>
      </text>
    </comment>
    <comment ref="I109" authorId="0" shapeId="0" xr:uid="{00000000-0006-0000-0000-00001B000000}">
      <text>
        <r>
          <rPr>
            <b/>
            <sz val="9"/>
            <color indexed="81"/>
            <rFont val="Calibri"/>
            <family val="2"/>
          </rPr>
          <t>kafuchs:</t>
        </r>
        <r>
          <rPr>
            <sz val="9"/>
            <color indexed="81"/>
            <rFont val="Calibri"/>
            <family val="2"/>
          </rPr>
          <t xml:space="preserve">
Expert estimate
</t>
        </r>
      </text>
    </comment>
    <comment ref="AH109" authorId="0" shapeId="0" xr:uid="{00000000-0006-0000-0000-00001C000000}">
      <text>
        <r>
          <rPr>
            <b/>
            <sz val="9"/>
            <color indexed="81"/>
            <rFont val="Calibri"/>
            <family val="2"/>
          </rPr>
          <t>kafuchs:</t>
        </r>
        <r>
          <rPr>
            <sz val="9"/>
            <color indexed="81"/>
            <rFont val="Calibri"/>
            <family val="2"/>
          </rPr>
          <t xml:space="preserve">
Expert estimate</t>
        </r>
      </text>
    </comment>
    <comment ref="AL109" authorId="0" shapeId="0" xr:uid="{00000000-0006-0000-0000-00001D000000}">
      <text>
        <r>
          <rPr>
            <b/>
            <sz val="9"/>
            <color indexed="81"/>
            <rFont val="Calibri"/>
            <family val="2"/>
          </rPr>
          <t>kafuchs:</t>
        </r>
        <r>
          <rPr>
            <sz val="9"/>
            <color indexed="81"/>
            <rFont val="Calibri"/>
            <family val="2"/>
          </rPr>
          <t xml:space="preserve">
Expert estimate</t>
        </r>
      </text>
    </comment>
    <comment ref="I121" authorId="0" shapeId="0" xr:uid="{00000000-0006-0000-0000-00001E000000}">
      <text>
        <r>
          <rPr>
            <b/>
            <sz val="9"/>
            <color indexed="81"/>
            <rFont val="Calibri"/>
            <family val="2"/>
          </rPr>
          <t>kafuchs:</t>
        </r>
        <r>
          <rPr>
            <sz val="9"/>
            <color indexed="81"/>
            <rFont val="Calibri"/>
            <family val="2"/>
          </rPr>
          <t xml:space="preserve">
Expert estimate</t>
        </r>
      </text>
    </comment>
    <comment ref="AH121" authorId="0" shapeId="0" xr:uid="{00000000-0006-0000-0000-00001F000000}">
      <text>
        <r>
          <rPr>
            <b/>
            <sz val="9"/>
            <color indexed="81"/>
            <rFont val="Calibri"/>
            <family val="2"/>
          </rPr>
          <t>kafuchs:</t>
        </r>
        <r>
          <rPr>
            <sz val="9"/>
            <color indexed="81"/>
            <rFont val="Calibri"/>
            <family val="2"/>
          </rPr>
          <t xml:space="preserve">
Expert estimate</t>
        </r>
      </text>
    </comment>
    <comment ref="AL121" authorId="0" shapeId="0" xr:uid="{00000000-0006-0000-0000-000020000000}">
      <text>
        <r>
          <rPr>
            <b/>
            <sz val="9"/>
            <color indexed="81"/>
            <rFont val="Calibri"/>
            <family val="2"/>
          </rPr>
          <t>kafuchs:</t>
        </r>
        <r>
          <rPr>
            <sz val="9"/>
            <color indexed="81"/>
            <rFont val="Calibri"/>
            <family val="2"/>
          </rPr>
          <t xml:space="preserve">
Expert estimate</t>
        </r>
      </text>
    </comment>
    <comment ref="H137" authorId="2" shapeId="0" xr:uid="{916EBFAF-870E-4796-8EBE-C0B6088AB8CB}">
      <text>
        <t>[Threaded comment]
Your version of Excel allows you to read this threaded comment; however, any edits to it will get removed if the file is opened in a newer version of Excel. Learn more: https://go.microsoft.com/fwlink/?linkid=870924
Comment:
    changed 2007 to 2006 since it was probably a mistake to put 2007 here</t>
      </text>
    </comment>
    <comment ref="AH137" authorId="0" shapeId="0" xr:uid="{00000000-0006-0000-0000-000021000000}">
      <text>
        <r>
          <rPr>
            <b/>
            <sz val="9"/>
            <color indexed="81"/>
            <rFont val="Calibri"/>
            <family val="2"/>
          </rPr>
          <t>kafuchs:</t>
        </r>
        <r>
          <rPr>
            <sz val="9"/>
            <color indexed="81"/>
            <rFont val="Calibri"/>
            <family val="2"/>
          </rPr>
          <t xml:space="preserve">
Expert estimate
</t>
        </r>
      </text>
    </comment>
    <comment ref="H138" authorId="3" shapeId="0" xr:uid="{89E98B5A-B022-4CAD-BF4E-CF6B9BE65D0C}">
      <text>
        <t>[Threaded comment]
Your version of Excel allows you to read this threaded comment; however, any edits to it will get removed if the file is opened in a newer version of Excel. Learn more: https://go.microsoft.com/fwlink/?linkid=870924
Comment:
    changed 2007 to 2006 since it was probably a mistake to put 2007 here</t>
      </text>
    </comment>
    <comment ref="H141" authorId="0" shapeId="0" xr:uid="{00000000-0006-0000-0000-000022000000}">
      <text>
        <r>
          <rPr>
            <b/>
            <sz val="9"/>
            <color indexed="81"/>
            <rFont val="Calibri"/>
            <family val="2"/>
          </rPr>
          <t>kafuchs:</t>
        </r>
        <r>
          <rPr>
            <sz val="9"/>
            <color indexed="81"/>
            <rFont val="Calibri"/>
            <family val="2"/>
          </rPr>
          <t xml:space="preserve">
Expert opinion</t>
        </r>
      </text>
    </comment>
    <comment ref="H155" authorId="4" shapeId="0" xr:uid="{83D4303A-4AF9-4441-B530-0F952A6988EE}">
      <text>
        <t>[Threaded comment]
Your version of Excel allows you to read this threaded comment; however, any edits to it will get removed if the file is opened in a newer version of Excel. Learn more: https://go.microsoft.com/fwlink/?linkid=870924
Comment:
    changed 2007 to 2006 since it was probably a mistake to put 2007 here</t>
      </text>
    </comment>
    <comment ref="AK266" authorId="5" shapeId="0" xr:uid="{6E0583AA-ED41-450A-9411-3A21D8FB9CBA}">
      <text>
        <r>
          <rPr>
            <b/>
            <sz val="9"/>
            <color indexed="81"/>
            <rFont val="Tahoma"/>
            <family val="2"/>
          </rPr>
          <t>Feigenwinter  Iris:</t>
        </r>
        <r>
          <rPr>
            <sz val="9"/>
            <color indexed="81"/>
            <rFont val="Tahoma"/>
            <family val="2"/>
          </rPr>
          <t xml:space="preserve">
IF changed this to hay bales (was saying "Animals" before), see similar management at A parcel</t>
        </r>
      </text>
    </comment>
    <comment ref="AG274" authorId="5" shapeId="0" xr:uid="{75CB58CA-6471-4F99-8E93-0FDA7DCE0538}">
      <text>
        <r>
          <rPr>
            <b/>
            <sz val="9"/>
            <color indexed="81"/>
            <rFont val="Tahoma"/>
            <family val="2"/>
          </rPr>
          <t>Feigenwinter  Iris:</t>
        </r>
        <r>
          <rPr>
            <sz val="9"/>
            <color indexed="81"/>
            <rFont val="Tahoma"/>
            <family val="2"/>
          </rPr>
          <t xml:space="preserve">
This year is special. I think the fertilization was originally referred to both parcels together (4.68) but the yields seem to be reported per parcel (here still 1.5 ha). Also the calculations (which are none for the yield amounts) in column Amount_per_ha_in_original_unit supports that. Thus the A parcel area has not changed this year (still 1.5). I change the area but made sure that the Amount_per_ha_in_original_unit does not get changed (using the reference area 4.68 for fertilization)</t>
        </r>
      </text>
    </comment>
    <comment ref="AJ280" authorId="5" shapeId="0" xr:uid="{D24FC8EE-759A-46EC-BF95-F7C45D520F48}">
      <text>
        <r>
          <rPr>
            <b/>
            <sz val="9"/>
            <color indexed="81"/>
            <rFont val="Tahoma"/>
            <family val="2"/>
          </rPr>
          <t>Feigenwinter  Iris:</t>
        </r>
        <r>
          <rPr>
            <sz val="9"/>
            <color indexed="81"/>
            <rFont val="Tahoma"/>
            <family val="2"/>
          </rPr>
          <t xml:space="preserve">
This for example is 90/1.5 =60 so the yield was reported per parcel (1.5 ha)</t>
        </r>
      </text>
    </comment>
    <comment ref="AH300" authorId="0" shapeId="0" xr:uid="{00000000-0006-0000-0000-000023000000}">
      <text>
        <r>
          <rPr>
            <b/>
            <sz val="9"/>
            <color indexed="81"/>
            <rFont val="Calibri"/>
            <family val="2"/>
          </rPr>
          <t>kafuchs:</t>
        </r>
        <r>
          <rPr>
            <sz val="9"/>
            <color indexed="81"/>
            <rFont val="Calibri"/>
            <family val="2"/>
          </rPr>
          <t xml:space="preserve">
Die 15.3 Schafe kommen dadurch zustande,  50 auf beiden Parzellen waren </t>
        </r>
      </text>
    </comment>
    <comment ref="AH320" authorId="0" shapeId="0" xr:uid="{00000000-0006-0000-0000-000024000000}">
      <text>
        <r>
          <rPr>
            <b/>
            <sz val="9"/>
            <color indexed="81"/>
            <rFont val="Calibri"/>
            <family val="2"/>
          </rPr>
          <t>kafuchs:</t>
        </r>
        <r>
          <rPr>
            <sz val="9"/>
            <color indexed="81"/>
            <rFont val="Calibri"/>
            <family val="2"/>
          </rPr>
          <t xml:space="preserve">
Unvollständige Schafe kommen dadurch zustande,  50 auf beiden Parzellen waren</t>
        </r>
      </text>
    </comment>
    <comment ref="V341" authorId="0" shapeId="0" xr:uid="{00000000-0006-0000-0000-000025000000}">
      <text>
        <r>
          <rPr>
            <b/>
            <sz val="9"/>
            <color indexed="81"/>
            <rFont val="Calibri"/>
            <family val="2"/>
          </rPr>
          <t>kafuchs:</t>
        </r>
        <r>
          <rPr>
            <sz val="9"/>
            <color indexed="81"/>
            <rFont val="Calibri"/>
            <family val="2"/>
          </rPr>
          <t xml:space="preserve">
From Charlotte
Das sind heu und Emd dieser Ernte zusammen, im Feldbuch sind das 2 Zellen </t>
        </r>
      </text>
    </comment>
    <comment ref="V348" authorId="0" shapeId="0" xr:uid="{00000000-0006-0000-0000-000026000000}">
      <text>
        <r>
          <rPr>
            <b/>
            <sz val="9"/>
            <color indexed="81"/>
            <rFont val="Calibri"/>
            <family val="2"/>
          </rPr>
          <t>kafuchs:</t>
        </r>
        <r>
          <rPr>
            <sz val="9"/>
            <color indexed="81"/>
            <rFont val="Calibri"/>
            <family val="2"/>
          </rPr>
          <t xml:space="preserve">
This is in deed the same amount as just above</t>
        </r>
      </text>
    </comment>
    <comment ref="AH351" authorId="0" shapeId="0" xr:uid="{00000000-0006-0000-0000-000027000000}">
      <text>
        <r>
          <rPr>
            <b/>
            <sz val="9"/>
            <color indexed="81"/>
            <rFont val="Calibri"/>
            <family val="2"/>
          </rPr>
          <t>kafuchs:</t>
        </r>
        <r>
          <rPr>
            <sz val="9"/>
            <color indexed="81"/>
            <rFont val="Calibri"/>
            <family val="2"/>
          </rPr>
          <t xml:space="preserve">
Im Feldbuch 2 Einträge für diesen Tag, hier Wagen und Ballen zusammengezählt</t>
        </r>
      </text>
    </comment>
    <comment ref="H364" authorId="0" shapeId="0" xr:uid="{00000000-0006-0000-0000-000028000000}">
      <text>
        <r>
          <rPr>
            <b/>
            <sz val="9"/>
            <color rgb="FF000000"/>
            <rFont val="Calibri"/>
            <family val="2"/>
          </rPr>
          <t>kafuchs: 12.5. - 17.5.  waren auf der Parzelle 17 Tiere, ab 17.5.-3.6., dann nur noch 10 Tiere</t>
        </r>
        <r>
          <rPr>
            <sz val="9"/>
            <color rgb="FF000000"/>
            <rFont val="Calibri"/>
            <family val="2"/>
          </rPr>
          <t xml:space="preserve">
</t>
        </r>
      </text>
    </comment>
    <comment ref="I364" authorId="0" shapeId="0" xr:uid="{00000000-0006-0000-0000-000029000000}">
      <text>
        <r>
          <rPr>
            <b/>
            <sz val="9"/>
            <color rgb="FF000000"/>
            <rFont val="Calibri"/>
            <family val="2"/>
          </rPr>
          <t>kafuchs: 12.5. - 17.5.  waren auf der Parzelle 17 Tiere, ab 17.5.-3.6., dann nur noch 10 Tiere</t>
        </r>
        <r>
          <rPr>
            <sz val="9"/>
            <color rgb="FF000000"/>
            <rFont val="Calibri"/>
            <family val="2"/>
          </rPr>
          <t xml:space="preserve">
</t>
        </r>
      </text>
    </comment>
    <comment ref="AH364" authorId="0" shapeId="0" xr:uid="{00000000-0006-0000-0000-00002A000000}">
      <text>
        <r>
          <rPr>
            <b/>
            <sz val="9"/>
            <color indexed="81"/>
            <rFont val="Calibri"/>
            <family val="2"/>
          </rPr>
          <t>kafuchs:</t>
        </r>
        <r>
          <rPr>
            <sz val="9"/>
            <color indexed="81"/>
            <rFont val="Calibri"/>
            <family val="2"/>
          </rPr>
          <t xml:space="preserve">
Duchschittliche Tierzahl pro tag: 12.5. - 17.5.  waren auf der Parzelle 17 Tiere, ab 17.5.-3.6., dann nur noch 10 Tiere
</t>
        </r>
      </text>
    </comment>
    <comment ref="AH400" authorId="0" shapeId="0" xr:uid="{00000000-0006-0000-0000-00002B000000}">
      <text>
        <r>
          <rPr>
            <b/>
            <sz val="9"/>
            <color indexed="81"/>
            <rFont val="Calibri"/>
            <family val="2"/>
          </rPr>
          <t>kafuchs:</t>
        </r>
        <r>
          <rPr>
            <sz val="9"/>
            <color indexed="81"/>
            <rFont val="Calibri"/>
            <family val="2"/>
          </rPr>
          <t xml:space="preserve">
on both parcels
</t>
        </r>
      </text>
    </comment>
    <comment ref="AH410" authorId="0" shapeId="0" xr:uid="{00000000-0006-0000-0000-00002C000000}">
      <text>
        <r>
          <rPr>
            <b/>
            <sz val="9"/>
            <color rgb="FF000000"/>
            <rFont val="Calibri"/>
            <family val="2"/>
          </rPr>
          <t>kafuchs:</t>
        </r>
        <r>
          <rPr>
            <sz val="9"/>
            <color rgb="FF000000"/>
            <rFont val="Calibri"/>
            <family val="2"/>
          </rPr>
          <t xml:space="preserve">
</t>
        </r>
        <r>
          <rPr>
            <sz val="9"/>
            <color rgb="FF000000"/>
            <rFont val="Calibri"/>
            <family val="2"/>
          </rPr>
          <t>on both parcels</t>
        </r>
      </text>
    </comment>
    <comment ref="AH411" authorId="0" shapeId="0" xr:uid="{00000000-0006-0000-0000-00002D000000}">
      <text>
        <r>
          <rPr>
            <b/>
            <sz val="9"/>
            <color rgb="FF000000"/>
            <rFont val="Calibri"/>
            <family val="2"/>
          </rPr>
          <t>kafuchs:</t>
        </r>
        <r>
          <rPr>
            <sz val="9"/>
            <color rgb="FF000000"/>
            <rFont val="Calibri"/>
            <family val="2"/>
          </rPr>
          <t xml:space="preserve">
</t>
        </r>
        <r>
          <rPr>
            <sz val="9"/>
            <color rgb="FF000000"/>
            <rFont val="Calibri"/>
            <family val="2"/>
          </rPr>
          <t xml:space="preserve">on both parcels
</t>
        </r>
      </text>
    </comment>
    <comment ref="AH418" authorId="0" shapeId="0" xr:uid="{00000000-0006-0000-0000-00002E000000}">
      <text>
        <r>
          <rPr>
            <b/>
            <sz val="9"/>
            <color indexed="81"/>
            <rFont val="Calibri"/>
            <family val="2"/>
          </rPr>
          <t>kafuchs:</t>
        </r>
        <r>
          <rPr>
            <sz val="9"/>
            <color indexed="81"/>
            <rFont val="Calibri"/>
            <family val="2"/>
          </rPr>
          <t xml:space="preserve">
on both parcels
</t>
        </r>
      </text>
    </comment>
    <comment ref="W420" authorId="5" shapeId="0" xr:uid="{00000000-0006-0000-0000-00002F000000}">
      <text>
        <r>
          <rPr>
            <b/>
            <sz val="9"/>
            <color indexed="81"/>
            <rFont val="Tahoma"/>
            <family val="2"/>
          </rPr>
          <t>Feigenwinter  Iris:</t>
        </r>
        <r>
          <rPr>
            <sz val="9"/>
            <color indexed="81"/>
            <rFont val="Tahoma"/>
            <family val="2"/>
          </rPr>
          <t xml:space="preserve">
Average from year before. Samples missing
</t>
        </r>
      </text>
    </comment>
    <comment ref="X420" authorId="5" shapeId="0" xr:uid="{00000000-0006-0000-0000-000030000000}">
      <text>
        <r>
          <rPr>
            <b/>
            <sz val="9"/>
            <color indexed="81"/>
            <rFont val="Tahoma"/>
            <family val="2"/>
          </rPr>
          <t>Feigenwinter  Iris:</t>
        </r>
        <r>
          <rPr>
            <sz val="9"/>
            <color indexed="81"/>
            <rFont val="Tahoma"/>
            <family val="2"/>
          </rPr>
          <t xml:space="preserve">
Average from year before. Samples missing</t>
        </r>
      </text>
    </comment>
    <comment ref="S426" authorId="5" shapeId="0" xr:uid="{4BFFBE58-4604-440D-B7A8-526869C7CBB1}">
      <text>
        <r>
          <rPr>
            <b/>
            <sz val="9"/>
            <color indexed="81"/>
            <rFont val="Tahoma"/>
            <family val="2"/>
          </rPr>
          <t>Feigenwinter  Iris:</t>
        </r>
        <r>
          <rPr>
            <sz val="9"/>
            <color indexed="81"/>
            <rFont val="Tahoma"/>
            <family val="2"/>
          </rPr>
          <t xml:space="preserve">
estimated by number of sheep and intake per day</t>
        </r>
      </text>
    </comment>
    <comment ref="V426" authorId="5" shapeId="0" xr:uid="{00000000-0006-0000-0000-000032000000}">
      <text>
        <r>
          <rPr>
            <b/>
            <sz val="9"/>
            <color indexed="81"/>
            <rFont val="Tahoma"/>
            <family val="2"/>
          </rPr>
          <t>Feigenwinter  Iris:</t>
        </r>
        <r>
          <rPr>
            <sz val="9"/>
            <color indexed="81"/>
            <rFont val="Tahoma"/>
            <family val="2"/>
          </rPr>
          <t xml:space="preserve">
estimate no BM measurements</t>
        </r>
      </text>
    </comment>
    <comment ref="W426" authorId="5" shapeId="0" xr:uid="{498A8ACA-FDE2-4EE7-9A3E-95ACB79EE103}">
      <text>
        <r>
          <rPr>
            <b/>
            <sz val="9"/>
            <color indexed="81"/>
            <rFont val="Tahoma"/>
            <family val="2"/>
          </rPr>
          <t>Feigenwinter  Iris:</t>
        </r>
        <r>
          <rPr>
            <sz val="9"/>
            <color indexed="81"/>
            <rFont val="Tahoma"/>
            <family val="2"/>
          </rPr>
          <t xml:space="preserve">
Average of harvests before, samples are missing.</t>
        </r>
      </text>
    </comment>
    <comment ref="AH426" authorId="6" shapeId="0" xr:uid="{EEBBEFAB-1C8B-4CEC-BA26-589EA939A569}">
      <text>
        <t>[Threaded comment]
Your version of Excel allows you to read this threaded comment; however, any edits to it will get removed if the file is opened in a newer version of Excel. Learn more: https://go.microsoft.com/fwlink/?linkid=870924
Comment:
    Estimated from webcam images, no information from farmer available</t>
      </text>
    </comment>
    <comment ref="X427" authorId="5" shapeId="0" xr:uid="{00000000-0006-0000-0000-000034000000}">
      <text>
        <r>
          <rPr>
            <b/>
            <sz val="9"/>
            <color indexed="81"/>
            <rFont val="Tahoma"/>
            <family val="2"/>
          </rPr>
          <t>Feigenwinter  Iris:</t>
        </r>
        <r>
          <rPr>
            <sz val="9"/>
            <color indexed="81"/>
            <rFont val="Tahoma"/>
            <family val="2"/>
          </rPr>
          <t xml:space="preserve">
Average from year before. Samples missing</t>
        </r>
      </text>
    </comment>
    <comment ref="W430" authorId="5" shapeId="0" xr:uid="{8F4F30D4-8091-4A41-A056-711391784E01}">
      <text>
        <r>
          <rPr>
            <b/>
            <sz val="9"/>
            <color indexed="81"/>
            <rFont val="Tahoma"/>
            <family val="2"/>
          </rPr>
          <t>Feigenwinter  Iris:</t>
        </r>
        <r>
          <rPr>
            <sz val="9"/>
            <color indexed="81"/>
            <rFont val="Tahoma"/>
            <family val="2"/>
          </rPr>
          <t xml:space="preserve">
Average of harvests before, samples are missing.</t>
        </r>
      </text>
    </comment>
    <comment ref="S431" authorId="5" shapeId="0" xr:uid="{5CAD5612-C82D-4010-86FF-B1FC816D4744}">
      <text>
        <r>
          <rPr>
            <b/>
            <sz val="9"/>
            <color indexed="81"/>
            <rFont val="Tahoma"/>
            <family val="2"/>
          </rPr>
          <t>Feigenwinter  Iris:</t>
        </r>
        <r>
          <rPr>
            <sz val="9"/>
            <color indexed="81"/>
            <rFont val="Tahoma"/>
            <family val="2"/>
          </rPr>
          <t xml:space="preserve">
estimated by number of sheep and intake per day</t>
        </r>
      </text>
    </comment>
    <comment ref="V431" authorId="5" shapeId="0" xr:uid="{00000000-0006-0000-0000-000036000000}">
      <text>
        <r>
          <rPr>
            <b/>
            <sz val="9"/>
            <color indexed="81"/>
            <rFont val="Tahoma"/>
            <family val="2"/>
          </rPr>
          <t>Feigenwinter  Iris:</t>
        </r>
        <r>
          <rPr>
            <sz val="9"/>
            <color indexed="81"/>
            <rFont val="Tahoma"/>
            <family val="2"/>
          </rPr>
          <t xml:space="preserve">
estimate no BM measurements</t>
        </r>
      </text>
    </comment>
    <comment ref="W431" authorId="5" shapeId="0" xr:uid="{4EFAA702-3873-42E5-BC27-E24F3A67B4A7}">
      <text>
        <r>
          <rPr>
            <b/>
            <sz val="9"/>
            <color indexed="81"/>
            <rFont val="Tahoma"/>
            <family val="2"/>
          </rPr>
          <t>Feigenwinter  Iris:</t>
        </r>
        <r>
          <rPr>
            <sz val="9"/>
            <color indexed="81"/>
            <rFont val="Tahoma"/>
            <family val="2"/>
          </rPr>
          <t xml:space="preserve">
Average of harvests before, samples are missing.</t>
        </r>
      </text>
    </comment>
    <comment ref="AH431" authorId="7" shapeId="0" xr:uid="{4F4AFCF3-1940-499E-9418-61209FA901A9}">
      <text>
        <t>[Threaded comment]
Your version of Excel allows you to read this threaded comment; however, any edits to it will get removed if the file is opened in a newer version of Excel. Learn more: https://go.microsoft.com/fwlink/?linkid=870924
Comment:
    Estimated from webcam images, no information from farmer available</t>
      </text>
    </comment>
    <comment ref="AG432" authorId="5" shapeId="0" xr:uid="{00000000-0006-0000-0000-000037000000}">
      <text>
        <r>
          <rPr>
            <b/>
            <sz val="9"/>
            <color indexed="81"/>
            <rFont val="Tahoma"/>
            <family val="2"/>
          </rPr>
          <t>Feigenwinter  Iris:</t>
        </r>
        <r>
          <rPr>
            <sz val="9"/>
            <color indexed="81"/>
            <rFont val="Tahoma"/>
            <family val="2"/>
          </rPr>
          <t xml:space="preserve">
Different areas are reported in the farmers sheet. I do not expect the parcel borders to have changed, so I put 2.2 for all of 2018</t>
        </r>
      </text>
    </comment>
    <comment ref="AJ432" authorId="5" shapeId="0" xr:uid="{00000000-0006-0000-0000-000038000000}">
      <text>
        <r>
          <rPr>
            <b/>
            <sz val="9"/>
            <color indexed="81"/>
            <rFont val="Tahoma"/>
            <family val="2"/>
          </rPr>
          <t>Feigenwinter  Iris:</t>
        </r>
        <r>
          <rPr>
            <sz val="9"/>
            <color indexed="81"/>
            <rFont val="Tahoma"/>
            <family val="2"/>
          </rPr>
          <t xml:space="preserve">
Estimates by the farmer. Not expected to be very accurate</t>
        </r>
      </text>
    </comment>
    <comment ref="AG434" authorId="5" shapeId="0" xr:uid="{B8937D18-CC39-4F29-8FB4-4C740F233D6D}">
      <text>
        <r>
          <rPr>
            <b/>
            <sz val="9"/>
            <color indexed="81"/>
            <rFont val="Tahoma"/>
            <family val="2"/>
          </rPr>
          <t>Feigenwinter  Iris:</t>
        </r>
        <r>
          <rPr>
            <sz val="9"/>
            <color indexed="81"/>
            <rFont val="Tahoma"/>
            <family val="2"/>
          </rPr>
          <t xml:space="preserve">
Different areas in the report. For consistency I put 2.2 here</t>
        </r>
      </text>
    </comment>
    <comment ref="F440" authorId="5" shapeId="0" xr:uid="{00000000-0006-0000-0000-000039000000}">
      <text>
        <r>
          <rPr>
            <b/>
            <sz val="9"/>
            <color indexed="81"/>
            <rFont val="Tahoma"/>
            <family val="2"/>
          </rPr>
          <t>Feigenwinter  Iris:</t>
        </r>
        <r>
          <rPr>
            <sz val="9"/>
            <color indexed="81"/>
            <rFont val="Tahoma"/>
            <family val="2"/>
          </rPr>
          <t xml:space="preserve">
No information from farmer, no chemical analysis of slurry</t>
        </r>
      </text>
    </comment>
    <comment ref="AJ440" authorId="5" shapeId="0" xr:uid="{93A5543B-D69B-40BA-A4B6-9AA62327E2ED}">
      <text>
        <r>
          <rPr>
            <b/>
            <sz val="9"/>
            <color indexed="81"/>
            <rFont val="Tahoma"/>
            <family val="2"/>
          </rPr>
          <t>Feigenwinter  Iris:</t>
        </r>
        <r>
          <rPr>
            <sz val="9"/>
            <color indexed="81"/>
            <rFont val="Tahoma"/>
            <family val="2"/>
          </rPr>
          <t xml:space="preserve">
This one is from the 2018 Parzellenblatt. There it says 35 m^3/ha but for the date of 07.11.2017, which is obviously a wrong date. 14.11.2018 was taken based on webcam images.</t>
        </r>
      </text>
    </comment>
    <comment ref="AG441" authorId="5" shapeId="0" xr:uid="{00000000-0006-0000-0000-00003A000000}">
      <text>
        <r>
          <rPr>
            <b/>
            <sz val="9"/>
            <color indexed="81"/>
            <rFont val="Tahoma"/>
            <family val="2"/>
          </rPr>
          <t>Feigenwinter  Iris:</t>
        </r>
        <r>
          <rPr>
            <sz val="9"/>
            <color indexed="81"/>
            <rFont val="Tahoma"/>
            <family val="2"/>
          </rPr>
          <t xml:space="preserve">
from current Parzellenplan of farmer</t>
        </r>
      </text>
    </comment>
    <comment ref="AG444" authorId="5" shapeId="0" xr:uid="{00000000-0006-0000-0000-00003B000000}">
      <text>
        <r>
          <rPr>
            <b/>
            <sz val="9"/>
            <color indexed="81"/>
            <rFont val="Tahoma"/>
            <family val="2"/>
          </rPr>
          <t>Feigenwinter  Iris:</t>
        </r>
        <r>
          <rPr>
            <sz val="9"/>
            <color indexed="81"/>
            <rFont val="Tahoma"/>
            <family val="2"/>
          </rPr>
          <t xml:space="preserve">
A strip of about 12 m from the station was not oversown (by mistake). This was done manually at a later date</t>
        </r>
      </text>
    </comment>
    <comment ref="H447" authorId="5" shapeId="0" xr:uid="{00000000-0006-0000-0000-000040000000}">
      <text>
        <r>
          <rPr>
            <b/>
            <sz val="9"/>
            <color indexed="81"/>
            <rFont val="Tahoma"/>
            <family val="2"/>
          </rPr>
          <t>Feigenwinter  Iris:</t>
        </r>
        <r>
          <rPr>
            <sz val="9"/>
            <color indexed="81"/>
            <rFont val="Tahoma"/>
            <family val="2"/>
          </rPr>
          <t xml:space="preserve">
In the Parzellenblatt this is 19.03. but I refer to the webcam images from 22.03.</t>
        </r>
      </text>
    </comment>
    <comment ref="F448" authorId="5" shapeId="0" xr:uid="{00000000-0006-0000-0000-000041000000}">
      <text>
        <r>
          <rPr>
            <b/>
            <sz val="9"/>
            <color indexed="81"/>
            <rFont val="Tahoma"/>
            <family val="2"/>
          </rPr>
          <t>Feigenwinter  Iris:</t>
        </r>
        <r>
          <rPr>
            <sz val="9"/>
            <color indexed="81"/>
            <rFont val="Tahoma"/>
            <family val="2"/>
          </rPr>
          <t xml:space="preserve">
Not whole P4 was mowed, a part in the south was left for hay production which was mowed at a later date.</t>
        </r>
      </text>
    </comment>
    <comment ref="AG448" authorId="5" shapeId="0" xr:uid="{00000000-0006-0000-0000-000042000000}">
      <text>
        <r>
          <rPr>
            <b/>
            <sz val="9"/>
            <color indexed="81"/>
            <rFont val="Tahoma"/>
            <family val="2"/>
          </rPr>
          <t>Feigenwinter  Iris:</t>
        </r>
        <r>
          <rPr>
            <sz val="9"/>
            <color indexed="81"/>
            <rFont val="Tahoma"/>
            <family val="2"/>
          </rPr>
          <t xml:space="preserve">
Not whole P4 was mowed, some was mowed later. Part of the harvest was used as grass silage, part of it as hay. For simplification  reasons I still write the whole parcel area here</t>
        </r>
      </text>
    </comment>
    <comment ref="AJ448" authorId="5" shapeId="0" xr:uid="{20D839F6-15CD-4110-8AA0-8BFB1283BE3A}">
      <text>
        <r>
          <rPr>
            <b/>
            <sz val="9"/>
            <color indexed="81"/>
            <rFont val="Tahoma"/>
            <family val="2"/>
          </rPr>
          <t>Feigenwinter  Iris:
In Agrotech sheet it says 1322 but I think the comma was missing by mistake</t>
        </r>
      </text>
    </comment>
    <comment ref="AG449" authorId="5" shapeId="0" xr:uid="{00000000-0006-0000-0000-000045000000}">
      <text>
        <r>
          <rPr>
            <b/>
            <sz val="9"/>
            <color indexed="81"/>
            <rFont val="Tahoma"/>
            <family val="2"/>
          </rPr>
          <t>Feigenwinter  Iris:</t>
        </r>
        <r>
          <rPr>
            <sz val="9"/>
            <color indexed="81"/>
            <rFont val="Tahoma"/>
            <family val="2"/>
          </rPr>
          <t xml:space="preserve">
Actually less because area close to the station was not fertilized</t>
        </r>
      </text>
    </comment>
    <comment ref="S455" authorId="5" shapeId="0" xr:uid="{F614462B-DDE7-4C53-A9B7-6ACD73012C21}">
      <text>
        <r>
          <rPr>
            <b/>
            <sz val="9"/>
            <color indexed="81"/>
            <rFont val="Tahoma"/>
            <family val="2"/>
          </rPr>
          <t>Feigenwinter  Iris:</t>
        </r>
        <r>
          <rPr>
            <sz val="9"/>
            <color indexed="81"/>
            <rFont val="Tahoma"/>
            <family val="2"/>
          </rPr>
          <t xml:space="preserve">
estimated by number of sheep and intake per day</t>
        </r>
      </text>
    </comment>
    <comment ref="H456" authorId="5" shapeId="0" xr:uid="{00000000-0006-0000-0000-000047000000}">
      <text>
        <r>
          <rPr>
            <b/>
            <sz val="9"/>
            <color indexed="81"/>
            <rFont val="Tahoma"/>
            <family val="2"/>
          </rPr>
          <t>Feigenwinter  Iris:</t>
        </r>
        <r>
          <rPr>
            <sz val="9"/>
            <color indexed="81"/>
            <rFont val="Tahoma"/>
            <family val="2"/>
          </rPr>
          <t xml:space="preserve">
In the Parzellenblatt this is 19.03. but I refer to the webcam images from 22.03.</t>
        </r>
      </text>
    </comment>
    <comment ref="S462" authorId="5" shapeId="0" xr:uid="{A07EEF98-A10F-4CA2-952C-47526BC11C8B}">
      <text>
        <r>
          <rPr>
            <b/>
            <sz val="9"/>
            <color indexed="81"/>
            <rFont val="Tahoma"/>
            <family val="2"/>
          </rPr>
          <t>Feigenwinter  Iris:</t>
        </r>
        <r>
          <rPr>
            <sz val="9"/>
            <color indexed="81"/>
            <rFont val="Tahoma"/>
            <family val="2"/>
          </rPr>
          <t xml:space="preserve">
estimated by number of sheep and intake per day</t>
        </r>
      </text>
    </comment>
    <comment ref="AJ467" authorId="8" shapeId="0" xr:uid="{4D46A692-9A8E-478D-A19C-A28020EDC02F}">
      <text>
        <t>[Threaded comment]
Your version of Excel allows you to read this threaded comment; however, any edits to it will get removed if the file is opened in a newer version of Excel. Learn more: https://go.microsoft.com/fwlink/?linkid=870924
Comment:
    From agrotech sheet</t>
      </text>
    </comment>
    <comment ref="AJ469" authorId="9" shapeId="0" xr:uid="{F695D22C-942B-4E7E-BDF6-48F67A3ED898}">
      <text>
        <t>[Threaded comment]
Your version of Excel allows you to read this threaded comment; however, any edits to it will get removed if the file is opened in a newer version of Excel. Learn more: https://go.microsoft.com/fwlink/?linkid=870924
Comment:
    From agrotech sheet</t>
      </text>
    </comment>
    <comment ref="AJ471" authorId="10" shapeId="0" xr:uid="{7F2E38F9-4CCE-4B7A-8087-C7D8D67BA38A}">
      <text>
        <t>[Threaded comment]
Your version of Excel allows you to read this threaded comment; however, any edits to it will get removed if the file is opened in a newer version of Excel. Learn more: https://go.microsoft.com/fwlink/?linkid=870924
Comment:
    From agrotech sheet</t>
      </text>
    </comment>
    <comment ref="S473" authorId="5" shapeId="0" xr:uid="{E73DCA7C-E271-43D9-B3E7-94E20FB512E9}">
      <text>
        <r>
          <rPr>
            <b/>
            <sz val="9"/>
            <color indexed="81"/>
            <rFont val="Tahoma"/>
            <family val="2"/>
          </rPr>
          <t>Feigenwinter  Iris:</t>
        </r>
        <r>
          <rPr>
            <sz val="9"/>
            <color indexed="81"/>
            <rFont val="Tahoma"/>
            <family val="2"/>
          </rPr>
          <t xml:space="preserve">
estimated by number of sheep and intake per day</t>
        </r>
      </text>
    </comment>
    <comment ref="AJ476" authorId="11" shapeId="0" xr:uid="{87F55534-5608-41A8-B257-556B5941C689}">
      <text>
        <t>[Threaded comment]
Your version of Excel allows you to read this threaded comment; however, any edits to it will get removed if the file is opened in a newer version of Excel. Learn more: https://go.microsoft.com/fwlink/?linkid=870924
Comment:
    From agrotech sheet</t>
      </text>
    </comment>
    <comment ref="AJ477" authorId="12" shapeId="0" xr:uid="{310F2C12-74C5-4E9A-A375-F28A298B9814}">
      <text>
        <t>[Threaded comment]
Your version of Excel allows you to read this threaded comment; however, any edits to it will get removed if the file is opened in a newer version of Excel. Learn more: https://go.microsoft.com/fwlink/?linkid=870924
Comment:
    From agrotech sheet</t>
      </text>
    </comment>
    <comment ref="AJ478" authorId="13" shapeId="0" xr:uid="{E6D68A0B-8E53-4CFF-AE75-2C5D7AB7832E}">
      <text>
        <t>[Threaded comment]
Your version of Excel allows you to read this threaded comment; however, any edits to it will get removed if the file is opened in a newer version of Excel. Learn more: https://go.microsoft.com/fwlink/?linkid=870924
Comment:
    From agrotech sheet</t>
      </text>
    </comment>
    <comment ref="S480" authorId="5" shapeId="0" xr:uid="{D502C9B6-3D07-4644-BC09-8FF5F08EAF6E}">
      <text>
        <r>
          <rPr>
            <b/>
            <sz val="9"/>
            <color indexed="81"/>
            <rFont val="Tahoma"/>
            <family val="2"/>
          </rPr>
          <t>Feigenwinter  Iris:</t>
        </r>
        <r>
          <rPr>
            <sz val="9"/>
            <color indexed="81"/>
            <rFont val="Tahoma"/>
            <family val="2"/>
          </rPr>
          <t xml:space="preserve">
estimated by number of sheep and intake per day</t>
        </r>
      </text>
    </comment>
    <comment ref="AJ481" authorId="14" shapeId="0" xr:uid="{08DEEBA3-942D-4339-9850-8A7FD5015583}">
      <text>
        <t>[Threaded comment]
Your version of Excel allows you to read this threaded comment; however, any edits to it will get removed if the file is opened in a newer version of Excel. Learn more: https://go.microsoft.com/fwlink/?linkid=870924
Comment:
    Apprentice was driving too slowly so too much slurry. Farmer said on average 50m3/ha for both parcels but ch4 got more than ch5 so we agreed on these numbers</t>
      </text>
    </comment>
    <comment ref="H487" authorId="5" shapeId="0" xr:uid="{B738494D-321F-43B2-B8DA-EBAC0B755BAD}">
      <text>
        <r>
          <rPr>
            <b/>
            <sz val="9"/>
            <color indexed="81"/>
            <rFont val="Tahoma"/>
            <family val="2"/>
          </rPr>
          <t>Feigenwinter  Iris:</t>
        </r>
        <r>
          <rPr>
            <sz val="9"/>
            <color indexed="81"/>
            <rFont val="Tahoma"/>
            <family val="2"/>
          </rPr>
          <t xml:space="preserve">
Based on webcam images</t>
        </r>
      </text>
    </comment>
    <comment ref="F490" authorId="15" shapeId="0" xr:uid="{85708D15-653B-451F-A438-9CCF12E888AD}">
      <text>
        <t>[Threaded comment]
Your version of Excel allows you to read this threaded comment; however, any edits to it will get removed if the file is opened in a newer version of Excel. Learn more: https://go.microsoft.com/fwlink/?linkid=870924
Comment:
    They left out a strip in the south of the station in the ditch because it was too wet to be driven onto</t>
      </text>
    </comment>
    <comment ref="F491" authorId="16" shapeId="0" xr:uid="{E893FC4A-40D6-48B6-BD75-19E690C67022}">
      <text>
        <t>[Threaded comment]
Your version of Excel allows you to read this threaded comment; however, any edits to it will get removed if the file is opened in a newer version of Excel. Learn more: https://go.microsoft.com/fwlink/?linkid=870924
Comment:
    Leftover strip on A got resown</t>
      </text>
    </comment>
    <comment ref="G494" authorId="17" shapeId="0" xr:uid="{75247B03-15DB-4927-85FB-FE4892F722E9}">
      <text>
        <t>[Threaded comment]
Your version of Excel allows you to read this threaded comment; however, any edits to it will get removed if the file is opened in a newer version of Excel. Learn more: https://go.microsoft.com/fwlink/?linkid=870924
Comment:
    First time parcel B was fertilized since 2015!</t>
      </text>
    </comment>
    <comment ref="AJ494" authorId="18" shapeId="0" xr:uid="{A8EA69F5-9E1D-4CEC-8C59-57AD2984B505}">
      <text>
        <t>[Threaded comment]
Your version of Excel allows you to read this threaded comment; however, any edits to it will get removed if the file is opened in a newer version of Excel. Learn more: https://go.microsoft.com/fwlink/?linkid=870924
Comment:
    Apprentice was driving too slowly so too much slurry. Farmer said on average 50m3/ha for both parcels but ch4 got more than ch5 so we agreed on these numbers</t>
      </text>
    </comment>
    <comment ref="H500" authorId="5" shapeId="0" xr:uid="{471DF1E4-9166-423F-BBAD-13476822F265}">
      <text>
        <r>
          <rPr>
            <b/>
            <sz val="9"/>
            <color indexed="81"/>
            <rFont val="Tahoma"/>
            <family val="2"/>
          </rPr>
          <t>Feigenwinter  Iris:</t>
        </r>
        <r>
          <rPr>
            <sz val="9"/>
            <color indexed="81"/>
            <rFont val="Tahoma"/>
            <family val="2"/>
          </rPr>
          <t xml:space="preserve">
Based on webcam images</t>
        </r>
      </text>
    </comment>
    <comment ref="G509" authorId="19" shapeId="0" xr:uid="{0702B0E6-25EB-4D20-9FC2-1B9B0B026DCC}">
      <text>
        <t>[Threaded comment]
Your version of Excel allows you to read this threaded comment; however, any edits to it will get removed if the file is opened in a newer version of Excel. Learn more: https://go.microsoft.com/fwlink/?linkid=870924
Comment:
    No biomass samples</t>
      </text>
    </comment>
    <comment ref="I513" authorId="20" shapeId="0" xr:uid="{8086F09C-83BE-4F83-BA0E-D73E6F65E1B3}">
      <text>
        <t>[Threaded comment]
Your version of Excel allows you to read this threaded comment; however, any edits to it will get removed if the file is opened in a newer version of Excel. Learn more: https://go.microsoft.com/fwlink/?linkid=870924
Comment:
    An ellipse was left around the station for biomass sampling. That area was mowed on 2022-08-11, but farmer only took away the grass until 2022-08-16.</t>
      </text>
    </comment>
    <comment ref="I514" authorId="21" shapeId="0" xr:uid="{64068B4A-0361-494D-B372-3EE6B3265831}">
      <text>
        <t>[Threaded comment]
Your version of Excel allows you to read this threaded comment; however, any edits to it will get removed if the file is opened in a newer version of Excel. Learn more: https://go.microsoft.com/fwlink/?linkid=870924
Comment:
    On both days</t>
      </text>
    </comment>
    <comment ref="I516" authorId="22" shapeId="0" xr:uid="{528DC9E4-3599-48CA-8504-BFC4B557B2DE}">
      <text>
        <t>[Threaded comment]
Your version of Excel allows you to read this threaded comment; however, any edits to it will get removed if the file is opened in a newer version of Excel. Learn more: https://go.microsoft.com/fwlink/?linkid=870924
Comment:
    Farmer told us the fertilization was from Wednesday (2022-10-05) to Friday (2022-10-07)</t>
      </text>
    </comment>
    <comment ref="G520" authorId="23" shapeId="0" xr:uid="{6637C02C-F663-4643-B137-E7225EEDF015}">
      <text>
        <t>[Threaded comment]
Your version of Excel allows you to read this threaded comment; however, any edits to it will get removed if the file is opened in a newer version of Excel. Learn more: https://go.microsoft.com/fwlink/?linkid=870924
Comment:
    No biomass samples</t>
      </text>
    </comment>
    <comment ref="I524" authorId="24" shapeId="0" xr:uid="{FD4C3258-FB14-42DE-AAC4-6CEF7D7C41DC}">
      <text>
        <t>[Threaded comment]
Your version of Excel allows you to read this threaded comment; however, any edits to it will get removed if the file is opened in a newer version of Excel. Learn more: https://go.microsoft.com/fwlink/?linkid=870924
Comment:
    An ellipse was left around the station for biomass sampling. That area was mowed on 2022-08-11, but farmer only took away the grass until 2022-08-16.</t>
      </text>
    </comment>
    <comment ref="I525" authorId="25" shapeId="0" xr:uid="{A883F372-B375-4F24-8D9A-D1ADE9A8E5C2}">
      <text>
        <t>[Threaded comment]
Your version of Excel allows you to read this threaded comment; however, any edits to it will get removed if the file is opened in a newer version of Excel. Learn more: https://go.microsoft.com/fwlink/?linkid=870924
Comment:
    On both days</t>
      </text>
    </comment>
    <comment ref="I527" authorId="26" shapeId="0" xr:uid="{C6276C91-354E-4269-830D-04A426CCFC4E}">
      <text>
        <t>[Threaded comment]
Your version of Excel allows you to read this threaded comment; however, any edits to it will get removed if the file is opened in a newer version of Excel. Learn more: https://go.microsoft.com/fwlink/?linkid=870924
Comment:
    Farmer told us the fertilization was from Wednesday (2022-10-05) to Friday (2022-10-07)</t>
      </text>
    </comment>
  </commentList>
</comments>
</file>

<file path=xl/sharedStrings.xml><?xml version="1.0" encoding="utf-8"?>
<sst xmlns="http://schemas.openxmlformats.org/spreadsheetml/2006/main" count="3559" uniqueCount="200">
  <si>
    <t>Mg</t>
  </si>
  <si>
    <t>NA</t>
  </si>
  <si>
    <t>t</t>
  </si>
  <si>
    <t>kg</t>
  </si>
  <si>
    <t>ha</t>
  </si>
  <si>
    <t>m3</t>
  </si>
  <si>
    <t>l</t>
  </si>
  <si>
    <t>tb</t>
  </si>
  <si>
    <t>ID</t>
  </si>
  <si>
    <t>C (kg/ha)_Fieldbook</t>
  </si>
  <si>
    <t>N (kg/ha)_Fieldbook</t>
  </si>
  <si>
    <r>
      <t>P</t>
    </r>
    <r>
      <rPr>
        <vertAlign val="subscript"/>
        <sz val="9"/>
        <rFont val="Arial"/>
        <family val="2"/>
      </rPr>
      <t>2</t>
    </r>
    <r>
      <rPr>
        <sz val="9"/>
        <rFont val="Arial"/>
        <family val="2"/>
      </rPr>
      <t>O</t>
    </r>
    <r>
      <rPr>
        <vertAlign val="subscript"/>
        <sz val="9"/>
        <rFont val="Arial"/>
        <family val="2"/>
      </rPr>
      <t>5</t>
    </r>
  </si>
  <si>
    <r>
      <t>K</t>
    </r>
    <r>
      <rPr>
        <vertAlign val="subscript"/>
        <sz val="9"/>
        <rFont val="Arial"/>
        <family val="2"/>
      </rPr>
      <t>2</t>
    </r>
    <r>
      <rPr>
        <sz val="9"/>
        <rFont val="Arial"/>
        <family val="2"/>
      </rPr>
      <t>O</t>
    </r>
  </si>
  <si>
    <t>Year</t>
  </si>
  <si>
    <t>Parcel</t>
  </si>
  <si>
    <t>Start</t>
  </si>
  <si>
    <t>End</t>
  </si>
  <si>
    <t>Fertilization</t>
  </si>
  <si>
    <t>Unit</t>
  </si>
  <si>
    <t>Duration (d)</t>
  </si>
  <si>
    <t>Yield (kg DM/ha)_Fieldbook</t>
  </si>
  <si>
    <t>Calcium ammonium nitrate</t>
  </si>
  <si>
    <t>Management_Category</t>
  </si>
  <si>
    <t>Sowing</t>
  </si>
  <si>
    <t>Soil cultivation</t>
  </si>
  <si>
    <t>Use</t>
  </si>
  <si>
    <t>Plant protection and growth maintenance</t>
  </si>
  <si>
    <t>Growth cycle</t>
  </si>
  <si>
    <t>Crop_type</t>
  </si>
  <si>
    <t>Grazing</t>
  </si>
  <si>
    <t>Harrowing</t>
  </si>
  <si>
    <t>Herbe removal</t>
  </si>
  <si>
    <t>Rumex removal</t>
  </si>
  <si>
    <t>Herbicide</t>
  </si>
  <si>
    <t>Mineral fertilizer</t>
  </si>
  <si>
    <t>Mowing</t>
  </si>
  <si>
    <t>Grass silage</t>
  </si>
  <si>
    <t>Organic fertilizer</t>
  </si>
  <si>
    <t>Oversowing</t>
  </si>
  <si>
    <t>Pesticide</t>
  </si>
  <si>
    <t>Ploughing</t>
  </si>
  <si>
    <t>Resowing</t>
  </si>
  <si>
    <t>Rolling</t>
  </si>
  <si>
    <t>Aftergrass</t>
  </si>
  <si>
    <t>Cattle</t>
  </si>
  <si>
    <t>Hay</t>
  </si>
  <si>
    <t>Manure</t>
  </si>
  <si>
    <t>Sheep</t>
  </si>
  <si>
    <t>Slurry</t>
  </si>
  <si>
    <t>Type OH 440 Extra</t>
  </si>
  <si>
    <t>Type OH 440 Reno</t>
  </si>
  <si>
    <t>Type OH 440 RenoTurbo</t>
  </si>
  <si>
    <t>Type OH 240 Reno</t>
  </si>
  <si>
    <t>C (kg/ha)_Measurement</t>
  </si>
  <si>
    <t>N (kg/ha)_Measurement</t>
  </si>
  <si>
    <t>C (kg/ha)_Measurement_sd</t>
  </si>
  <si>
    <t>N (kg/ha)_Measurement_sd</t>
  </si>
  <si>
    <t>Yield (kg DM/ha)_Measurement</t>
  </si>
  <si>
    <t>Yield (kg DM/ha)_Measurement_sd</t>
  </si>
  <si>
    <t>Corg Fertilizer (g/kg DM)</t>
  </si>
  <si>
    <t>Management_Subcategory</t>
  </si>
  <si>
    <t>N_NH4 Fertilizer (g/kg DM)</t>
  </si>
  <si>
    <t>&lt;0.001</t>
  </si>
  <si>
    <t>Yield (kg DM/ha)_Measurement_sem</t>
  </si>
  <si>
    <t>C (kg/ha)_Measurement_sem</t>
  </si>
  <si>
    <t>N (kg/ha)_Measurement_sem</t>
  </si>
  <si>
    <t>Animals</t>
  </si>
  <si>
    <t>Wagon</t>
  </si>
  <si>
    <t xml:space="preserve">Amount_per_parcel </t>
  </si>
  <si>
    <t xml:space="preserve">Weight per harvest unit or estimated intake per animal per day (kg) </t>
  </si>
  <si>
    <t>Silage bales</t>
  </si>
  <si>
    <t>Hay bales</t>
  </si>
  <si>
    <t>dt DM</t>
  </si>
  <si>
    <t>Residuals on the field after cutting:</t>
  </si>
  <si>
    <t>Area (ha)</t>
  </si>
  <si>
    <r>
      <t>Fert N</t>
    </r>
    <r>
      <rPr>
        <vertAlign val="subscript"/>
        <sz val="9"/>
        <rFont val="Arial"/>
        <family val="2"/>
      </rPr>
      <t xml:space="preserve">verf </t>
    </r>
  </si>
  <si>
    <t>Total Fertilizer DM (kg/ha)</t>
  </si>
  <si>
    <t>Total Fertilizer N (kg/ha)</t>
  </si>
  <si>
    <t>Fertilizer DM (%)</t>
  </si>
  <si>
    <t>N_tot Fertilizer (g/kg DM) (Nmin+Norg)</t>
  </si>
  <si>
    <t>N_NO3 Fertilizer (g/kg DM)</t>
  </si>
  <si>
    <t>Total Fertilizer Corg (kg/ha)</t>
  </si>
  <si>
    <t>Fertilizer C/N</t>
  </si>
  <si>
    <t>dt FM</t>
  </si>
  <si>
    <t>Amount_per_ha_in_original_unit</t>
  </si>
  <si>
    <t>White clover big leave (FIONA, BOMBUS)</t>
  </si>
  <si>
    <t>White clover small leave (PEPSI, HEBE)</t>
  </si>
  <si>
    <r>
      <t>English ryegrass (</t>
    </r>
    <r>
      <rPr>
        <i/>
        <sz val="12"/>
        <color theme="1"/>
        <rFont val="Calibri"/>
        <family val="2"/>
        <scheme val="minor"/>
      </rPr>
      <t>Lolium perenne</t>
    </r>
    <r>
      <rPr>
        <sz val="12"/>
        <color theme="1"/>
        <rFont val="Calibri"/>
        <family val="2"/>
        <scheme val="minor"/>
      </rPr>
      <t>) early sort</t>
    </r>
  </si>
  <si>
    <r>
      <t>English ryegrass (</t>
    </r>
    <r>
      <rPr>
        <i/>
        <sz val="12"/>
        <color theme="1"/>
        <rFont val="Calibri"/>
        <family val="2"/>
        <scheme val="minor"/>
      </rPr>
      <t>Lolium perenne</t>
    </r>
    <r>
      <rPr>
        <sz val="12"/>
        <color theme="1"/>
        <rFont val="Calibri"/>
        <family val="2"/>
        <scheme val="minor"/>
      </rPr>
      <t>) later sort</t>
    </r>
  </si>
  <si>
    <r>
      <rPr>
        <sz val="12"/>
        <color theme="1"/>
        <rFont val="Calibri"/>
        <family val="2"/>
        <scheme val="minor"/>
      </rPr>
      <t>Common meadow-grass</t>
    </r>
    <r>
      <rPr>
        <i/>
        <sz val="12"/>
        <color theme="1"/>
        <rFont val="Calibri"/>
        <family val="2"/>
        <scheme val="minor"/>
      </rPr>
      <t xml:space="preserve"> (Poa pratensis)</t>
    </r>
  </si>
  <si>
    <t>Weight g/a</t>
  </si>
  <si>
    <t>OH-440 Reno</t>
  </si>
  <si>
    <t>Total</t>
  </si>
  <si>
    <t>Weight kg/ha</t>
  </si>
  <si>
    <t>Red clover 2n BONUS</t>
  </si>
  <si>
    <t xml:space="preserve">and OH-440 RenoTurbo </t>
  </si>
  <si>
    <r>
      <t>Timothy-grass (</t>
    </r>
    <r>
      <rPr>
        <i/>
        <sz val="12"/>
        <color theme="1"/>
        <rFont val="Calibri"/>
        <family val="2"/>
        <scheme val="minor"/>
      </rPr>
      <t>Phleum pratense</t>
    </r>
    <r>
      <rPr>
        <sz val="12"/>
        <color theme="1"/>
        <rFont val="Calibri"/>
        <family val="2"/>
        <scheme val="minor"/>
      </rPr>
      <t>)</t>
    </r>
  </si>
  <si>
    <r>
      <t>Festuca (</t>
    </r>
    <r>
      <rPr>
        <i/>
        <sz val="12"/>
        <color theme="1"/>
        <rFont val="Calibri"/>
        <family val="2"/>
        <scheme val="minor"/>
      </rPr>
      <t>Festuca rubra</t>
    </r>
    <r>
      <rPr>
        <sz val="12"/>
        <color theme="1"/>
        <rFont val="Calibri"/>
        <family val="2"/>
        <scheme val="minor"/>
      </rPr>
      <t>)</t>
    </r>
  </si>
  <si>
    <t>OH-440 Extra</t>
  </si>
  <si>
    <t>Seed mixture:</t>
  </si>
  <si>
    <t>White clover big leave FIONA</t>
  </si>
  <si>
    <t>White clover small leave HEBE</t>
  </si>
  <si>
    <t>Red clover TEDI</t>
  </si>
  <si>
    <t>OH-Clover mixture for oversowing</t>
  </si>
  <si>
    <t>* OH - Rotklee 4n, Sorte TEDI, Weissklee kleinblättrig</t>
  </si>
  <si>
    <t xml:space="preserve">Sorte HEBE,  Weissklee grossblättrig, Sorte FIONA, </t>
  </si>
  <si>
    <t>insgesamt 200 g/a, je 1/3 der oben genannten Sorte</t>
  </si>
  <si>
    <t>Seed mixes</t>
  </si>
  <si>
    <t>Intensive grassland</t>
  </si>
  <si>
    <t>Seeding</t>
  </si>
  <si>
    <t>See seed mixtures in the next sheet.</t>
  </si>
  <si>
    <t>Assumption</t>
  </si>
  <si>
    <t xml:space="preserve">m3 </t>
  </si>
  <si>
    <t>Parcel 4 is the farmers name for Parcel A, Parcel 5 is the farmers name for Parcel B</t>
  </si>
  <si>
    <t>General Information</t>
  </si>
  <si>
    <t>The ID is given after sorting year, parcel and date of the event ID 1 for the first event in 2001</t>
  </si>
  <si>
    <t>dt DM is deci-tonnes per dry matter (corresponding to 0.1 t DM)</t>
  </si>
  <si>
    <t>Original_unit refers to the units as they show up in the fieldbook entries of the farm.</t>
  </si>
  <si>
    <t>Ploughing depth: 23 cm</t>
  </si>
  <si>
    <t xml:space="preserve">The harrow was applied before resowing events, where </t>
  </si>
  <si>
    <t>Asulox (applied on the whole field against Rumex obtusifolius)</t>
  </si>
  <si>
    <t>Asulam (applied on the whole field against Rumex obtusifolius)</t>
  </si>
  <si>
    <t>Harmony tabs (applied on single plants against Rumex obtusifolius)</t>
  </si>
  <si>
    <t>Molluscicide (applied on the whole field)</t>
  </si>
  <si>
    <t>Asulox and Asulox are applied on the whole field against Rumex obtusifolius.</t>
  </si>
  <si>
    <t>Molluscicide was applied on the whole field</t>
  </si>
  <si>
    <t>Ally Tabs and Harmony tabs are sdissolved in water and applied on individual plants</t>
  </si>
  <si>
    <t>Harrowing (1 cm)</t>
  </si>
  <si>
    <t>Harrowing (7 cm)</t>
  </si>
  <si>
    <t>Resowing: Ploughing the whole field and sowing a new seed mix</t>
  </si>
  <si>
    <t>Oversowing: No ploughing before, just harrowing at 1 cm depth and sowing on top of the existing vegetation with the purpose of removing herbes and shifting species composition to the desired grass-clover mixtures.</t>
  </si>
  <si>
    <t>Harrowing depth: 7 cm by "Egge" or 1 cm depth using the "Striegel"</t>
  </si>
  <si>
    <t>Height of the vegetation after cutting:</t>
  </si>
  <si>
    <t>900 kg/ha (Dry matter)</t>
  </si>
  <si>
    <t>Aftergrass was usually used as gras sillage</t>
  </si>
  <si>
    <t xml:space="preserve">This information is thought as a supplement  </t>
  </si>
  <si>
    <t>The columns Amount (in original units) and "Original_unit" are showing the original fieldbook entries from the farm.This column is given in orderenable tracing back where the processed numbers (Yield dry matter, Slurry dry matter) come from. Some models might need number of sheep per hectar as input, rather than intake. Based on this information I calculated the amounts given in the columns Yield (kg DM/ha)_Fieldbook, Total Fertilizer DM and the respective C and N in kg/ha. The entry Amount (original_units) refers to how many -&gt; Animal -&gt; Number of animals, Wagon -&gt; number of Wagons, Number of silage or hay bals were taken off. The conversion factors are in the sheet Ernteform_Gewicht.</t>
  </si>
  <si>
    <t>For 2015 and 2016 on parcel 5:</t>
  </si>
  <si>
    <t>A</t>
  </si>
  <si>
    <t>B</t>
  </si>
  <si>
    <t>Beginning at the indicated date at the beginning of the day</t>
  </si>
  <si>
    <t>Ending at the indicated end date at the end of the day</t>
  </si>
  <si>
    <t>sheep: intake of 1.5 kg per sheep and day</t>
  </si>
  <si>
    <t>cattle: intake of 12 kg per animal and day</t>
  </si>
  <si>
    <r>
      <t>Italian ryegrass (</t>
    </r>
    <r>
      <rPr>
        <i/>
        <sz val="12"/>
        <color rgb="FFFF0000"/>
        <rFont val="Calibri"/>
        <family val="2"/>
        <scheme val="minor"/>
      </rPr>
      <t>Lolium multiflorum</t>
    </r>
    <r>
      <rPr>
        <sz val="12"/>
        <color rgb="FFFF0000"/>
        <rFont val="Calibri"/>
        <family val="2"/>
        <scheme val="minor"/>
      </rPr>
      <t>) early sort</t>
    </r>
  </si>
  <si>
    <r>
      <t>Italian ryegrass (</t>
    </r>
    <r>
      <rPr>
        <i/>
        <sz val="12"/>
        <color rgb="FFFF0000"/>
        <rFont val="Calibri"/>
        <family val="2"/>
        <scheme val="minor"/>
      </rPr>
      <t>Lolium perenne</t>
    </r>
    <r>
      <rPr>
        <sz val="12"/>
        <color rgb="FFFF0000"/>
        <rFont val="Calibri"/>
        <family val="2"/>
        <scheme val="minor"/>
      </rPr>
      <t>) later sort</t>
    </r>
  </si>
  <si>
    <r>
      <t>Italian ryegrass (</t>
    </r>
    <r>
      <rPr>
        <i/>
        <sz val="12"/>
        <color rgb="FFFF0000"/>
        <rFont val="Calibri"/>
        <family val="2"/>
        <scheme val="minor"/>
      </rPr>
      <t>Lolium perenne</t>
    </r>
    <r>
      <rPr>
        <sz val="12"/>
        <color rgb="FFFF0000"/>
        <rFont val="Calibri"/>
        <family val="2"/>
        <scheme val="minor"/>
      </rPr>
      <t>) bastard</t>
    </r>
  </si>
  <si>
    <r>
      <rPr>
        <sz val="12"/>
        <color rgb="FFFF0000"/>
        <rFont val="Calibri"/>
        <family val="2"/>
        <scheme val="minor"/>
      </rPr>
      <t>Common meadow-grass</t>
    </r>
    <r>
      <rPr>
        <i/>
        <sz val="12"/>
        <color rgb="FFFF0000"/>
        <rFont val="Calibri"/>
        <family val="2"/>
        <scheme val="minor"/>
      </rPr>
      <t xml:space="preserve"> (Poa pratensis)</t>
    </r>
  </si>
  <si>
    <r>
      <t>Festuca (</t>
    </r>
    <r>
      <rPr>
        <i/>
        <sz val="12"/>
        <color rgb="FFFF0000"/>
        <rFont val="Calibri"/>
        <family val="2"/>
        <scheme val="minor"/>
      </rPr>
      <t>Festuca rubra</t>
    </r>
    <r>
      <rPr>
        <sz val="12"/>
        <color rgb="FFFF0000"/>
        <rFont val="Calibri"/>
        <family val="2"/>
        <scheme val="minor"/>
      </rPr>
      <t>)</t>
    </r>
  </si>
  <si>
    <r>
      <t>Timothy-grass (</t>
    </r>
    <r>
      <rPr>
        <i/>
        <sz val="12"/>
        <color rgb="FFFF0000"/>
        <rFont val="Calibri"/>
        <family val="2"/>
        <scheme val="minor"/>
      </rPr>
      <t>Phleum pratense</t>
    </r>
    <r>
      <rPr>
        <sz val="12"/>
        <color rgb="FFFF0000"/>
        <rFont val="Calibri"/>
        <family val="2"/>
        <scheme val="minor"/>
      </rPr>
      <t>)</t>
    </r>
  </si>
  <si>
    <t>OH-240 Reno</t>
  </si>
  <si>
    <t xml:space="preserve">and OH-240 RenoTurbo </t>
  </si>
  <si>
    <t>For 2018 on parcel 5:</t>
  </si>
  <si>
    <t>However, the area close to the station (distance 0-12m)</t>
  </si>
  <si>
    <t xml:space="preserve">--&gt; Similar seed mixture as in 2015, 2016. </t>
  </si>
  <si>
    <t>with the machinery. No harrowing. Rolling afterwards</t>
  </si>
  <si>
    <t xml:space="preserve">C_content (unitless)_Measurement </t>
  </si>
  <si>
    <t xml:space="preserve">N_content (unitless)_Measurement </t>
  </si>
  <si>
    <t>Red clover MARULA</t>
  </si>
  <si>
    <r>
      <rPr>
        <b/>
        <sz val="11"/>
        <color theme="1"/>
        <rFont val="Arial"/>
        <family val="2"/>
      </rPr>
      <t>Fig.1</t>
    </r>
    <r>
      <rPr>
        <sz val="11"/>
        <color theme="1"/>
        <rFont val="Arial"/>
        <family val="2"/>
      </rPr>
      <t>: Schematic view of the experimental setup for the N2O mitigation experiment (running since 2015, also see Fuchs et al. 2018, https://doi.org/10.5194/bg-15-5519-2018)</t>
    </r>
  </si>
  <si>
    <t>At parcel B clover is oversown regularly. The concept is to replace fertilization with biological nitrogen fixation and like that reduce the N2O emissions (see Fuchs et al. for a more detailed description)</t>
  </si>
  <si>
    <t xml:space="preserve">Parcel A is still fertilized with slurry, usually following a cut. </t>
  </si>
  <si>
    <t>Both parcels (A and B) are usually cut on the same day.</t>
  </si>
  <si>
    <t>The grassland is cut 4-6 times per year.</t>
  </si>
  <si>
    <t>In 2017: no oversowing of clover but still no fertilization on parcel B</t>
  </si>
  <si>
    <t>Experimental setup 2015-2016, see Fuchs et al. 2018: https://doi.org/10.5194/bg-15-5519-2018</t>
  </si>
  <si>
    <t>until 2014:</t>
  </si>
  <si>
    <t>from 2014 onwards:</t>
  </si>
  <si>
    <t xml:space="preserve">Since 13 March 2014 (based on email records) the border of parcel A and B is right at the  eddy station. </t>
  </si>
  <si>
    <t>Before that the border between A and B was located more in the south resulting in a higher contribution of parcel B (parcel 5) to the fluxes measured at the station.</t>
  </si>
  <si>
    <t>Slurry was applied via trailing hoase</t>
  </si>
  <si>
    <t>Additional information on management data</t>
  </si>
  <si>
    <t>In 2017 the farm buildings and the management were taking over by LBBZ Schluechthof Cham, a school for agriculture. Before that it was an official ETH research station. In this transition phase the management was poorly documented, this concerns the years 2017 and 2018.</t>
  </si>
  <si>
    <t>4-7 cm</t>
  </si>
  <si>
    <t xml:space="preserve">has be oversown manually by hand in 2018 instead of </t>
  </si>
  <si>
    <t>Rotklee, Sorte MARULA, Weissklee kleinblättrig,</t>
  </si>
  <si>
    <t>insgesamt 200 g/a, 1/2 FIONA, 1/4 HEBE, 1/4 MARULA in 2018</t>
  </si>
  <si>
    <t>Tb</t>
  </si>
  <si>
    <t>Ally Tabs (applied against Rumex spp. and Senecio spp.)</t>
  </si>
  <si>
    <t>Experimental setup from 2018-ongoing similar to Fuchs et al:</t>
  </si>
  <si>
    <t>Overview parcel size and borders:</t>
  </si>
  <si>
    <t>Contribution to the signal measured at the station are estimates</t>
  </si>
  <si>
    <t>In order to reduce complexity, for 2001 and 2002 only the original subparcel 5a was chosen for representing parcel 5 in the dataset.</t>
  </si>
  <si>
    <t>Management_specific</t>
  </si>
  <si>
    <t>HEBE FIONA MERULA. Sorte HEBE: Trifolium repens (small leaves). Sorte FIONA: Trifolium repens (big leaves). Sorte MARULA: Trifolium pratense. Total 20 kg/ha. Mixture: 27% HEBE  36% FIONA 36% MERULA (15 kg + 20 kg + 20 kg)</t>
  </si>
  <si>
    <t>Type OH (HEBE FIONA TEDI). Trifolium pratense 4n Sorte TEDI - Trifolium repens Sorte HEBE - Trifolium repens Sorte FIONA. Total 200 g/a of each 1/3</t>
  </si>
  <si>
    <t>Ally Tabs (applied on single plants against Rumex spp.)</t>
  </si>
  <si>
    <t>Roundup PowerMax</t>
  </si>
  <si>
    <t>https://www.staehler.ch/de/produkte/detail/roundup-r-powermax%231363</t>
  </si>
  <si>
    <t>Tillage</t>
  </si>
  <si>
    <t>HEBE FIONA MERULA. Sorte HEBE: Trifolium repens (small leaves). Sorte FIONA: Trifolium repens (big leaves). Sorte MERULA: Trifolium pratense. Total 20 kg/ha. Mixture: 1/4 HEBE  1/2 FIONA 1/4 MERULA</t>
  </si>
  <si>
    <t>UFA 420</t>
  </si>
  <si>
    <t>Hobelsaat (tillage until 3-4 cm)</t>
  </si>
  <si>
    <t>chemical analysis of slurry (14.11.2018) missing - inserted previous</t>
  </si>
  <si>
    <t>(140 sheep on both parcels)</t>
  </si>
  <si>
    <t>(48 sheep on both parcels)</t>
  </si>
  <si>
    <t>(138 sheep on both parcels)</t>
  </si>
  <si>
    <t>350 g/a</t>
  </si>
  <si>
    <t>on both parcels</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</si>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</sst>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yyyy\-mm\-dd;@"/>
    <numFmt numFmtId="165" formatCode="0.0"/>
    <numFmt numFmtId="166" formatCode="0.000"/>
  </numFmts>
  <fonts count="53">
    <font>
      <sz val="12"/>
      <color theme="1"/>
      <name val="Calibri"/>
      <family val="2"/>
      <scheme val="minor"/>
    </font>
    <font>
      <sz val="11"/>
      <color theme="1"/>
      <name val="Calibri"/>
      <family val="2"/>
      <scheme val="minor"/>
    </font>
    <font>
      <sz val="11"/>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12"/>
      <color theme="1"/>
      <name val="Calibri"/>
      <family val="2"/>
      <scheme val="minor"/>
    </font>
    <font>
      <sz val="9"/>
      <name val="Arial"/>
      <family val="2"/>
    </font>
    <font>
      <sz val="8.5"/>
      <name val="Arial"/>
      <family val="2"/>
    </font>
    <font>
      <sz val="10"/>
      <color theme="1"/>
      <name val="Calibri"/>
      <family val="2"/>
      <scheme val="minor"/>
    </font>
    <font>
      <u/>
      <sz val="12"/>
      <color theme="10"/>
      <name val="Calibri"/>
      <family val="2"/>
      <scheme val="minor"/>
    </font>
    <font>
      <u/>
      <sz val="12"/>
      <color theme="11"/>
      <name val="Calibri"/>
      <family val="2"/>
      <scheme val="minor"/>
    </font>
    <font>
      <b/>
      <sz val="9"/>
      <color indexed="81"/>
      <name val="Calibri"/>
      <family val="2"/>
    </font>
    <font>
      <sz val="9"/>
      <color indexed="81"/>
      <name val="Calibri"/>
      <family val="2"/>
    </font>
    <font>
      <sz val="9"/>
      <color theme="1"/>
      <name val="Arial"/>
      <family val="2"/>
    </font>
    <font>
      <sz val="9"/>
      <color indexed="8"/>
      <name val="Arial"/>
      <family val="2"/>
    </font>
    <font>
      <sz val="9"/>
      <color rgb="FF000000"/>
      <name val="Arial"/>
      <family val="2"/>
    </font>
    <font>
      <sz val="9"/>
      <color indexed="206"/>
      <name val="Arial"/>
      <family val="2"/>
    </font>
    <font>
      <i/>
      <sz val="12"/>
      <color rgb="FF7F7F7F"/>
      <name val="Calibri"/>
      <family val="2"/>
      <scheme val="minor"/>
    </font>
    <font>
      <sz val="8"/>
      <color indexed="8"/>
      <name val="Arial"/>
      <family val="2"/>
    </font>
    <font>
      <vertAlign val="subscript"/>
      <sz val="9"/>
      <name val="Arial"/>
      <family val="2"/>
    </font>
    <font>
      <i/>
      <sz val="9"/>
      <color rgb="FF7F7F7F"/>
      <name val="Arial"/>
      <family val="2"/>
    </font>
    <font>
      <i/>
      <sz val="9"/>
      <name val="Arial"/>
      <family val="2"/>
    </font>
    <font>
      <sz val="9"/>
      <color theme="1"/>
      <name val="Calibri"/>
      <family val="2"/>
      <scheme val="minor"/>
    </font>
    <font>
      <sz val="9"/>
      <color rgb="FF18376A"/>
      <name val="Arial"/>
      <family val="2"/>
    </font>
    <font>
      <sz val="12"/>
      <color rgb="FF9C6500"/>
      <name val="Calibri"/>
      <family val="2"/>
      <scheme val="minor"/>
    </font>
    <font>
      <sz val="12"/>
      <name val="Calibri"/>
      <family val="2"/>
    </font>
    <font>
      <sz val="12"/>
      <color theme="1"/>
      <name val="Arial"/>
      <family val="2"/>
    </font>
    <font>
      <sz val="11"/>
      <color theme="1"/>
      <name val="Arial"/>
      <family val="2"/>
    </font>
    <font>
      <b/>
      <sz val="12"/>
      <color theme="6" tint="-0.249977111117893"/>
      <name val="Calibri"/>
      <family val="2"/>
      <scheme val="minor"/>
    </font>
    <font>
      <i/>
      <sz val="12"/>
      <color theme="1"/>
      <name val="Calibri"/>
      <family val="2"/>
      <scheme val="minor"/>
    </font>
    <font>
      <b/>
      <sz val="12"/>
      <name val="Calibri"/>
      <family val="2"/>
      <scheme val="minor"/>
    </font>
    <font>
      <sz val="12"/>
      <name val="Calibri"/>
      <family val="2"/>
      <scheme val="minor"/>
    </font>
    <font>
      <b/>
      <sz val="18"/>
      <color theme="6"/>
      <name val="Calibri"/>
      <family val="2"/>
      <scheme val="minor"/>
    </font>
    <font>
      <sz val="11"/>
      <color theme="1"/>
      <name val="Calibri (Body)"/>
    </font>
    <font>
      <sz val="11"/>
      <name val="Calibri (Body)"/>
    </font>
    <font>
      <b/>
      <sz val="11"/>
      <color theme="1"/>
      <name val="Calibri (Body)"/>
    </font>
    <font>
      <sz val="11"/>
      <name val="Arial"/>
      <family val="2"/>
    </font>
    <font>
      <sz val="11"/>
      <color rgb="FF000000"/>
      <name val="Arial"/>
      <family val="2"/>
    </font>
    <font>
      <b/>
      <sz val="12"/>
      <color theme="1"/>
      <name val="Arial"/>
      <family val="2"/>
    </font>
    <font>
      <sz val="10"/>
      <color indexed="81"/>
      <name val="Calibri"/>
      <family val="2"/>
    </font>
    <font>
      <b/>
      <sz val="10"/>
      <color indexed="81"/>
      <name val="Calibri"/>
      <family val="2"/>
    </font>
    <font>
      <sz val="12"/>
      <color rgb="FFFF0000"/>
      <name val="Calibri"/>
      <family val="2"/>
      <scheme val="minor"/>
    </font>
    <font>
      <i/>
      <sz val="12"/>
      <color rgb="FFFF0000"/>
      <name val="Calibri"/>
      <family val="2"/>
      <scheme val="minor"/>
    </font>
    <font>
      <b/>
      <sz val="9"/>
      <color rgb="FF000000"/>
      <name val="Calibri"/>
      <family val="2"/>
    </font>
    <font>
      <sz val="9"/>
      <color rgb="FF000000"/>
      <name val="Calibri"/>
      <family val="2"/>
    </font>
    <font>
      <b/>
      <sz val="12"/>
      <color theme="1"/>
      <name val="Calibri"/>
      <family val="2"/>
      <scheme val="minor"/>
    </font>
    <font>
      <b/>
      <sz val="9"/>
      <color indexed="81"/>
      <name val="Tahoma"/>
      <family val="2"/>
    </font>
    <font>
      <sz val="9"/>
      <color indexed="81"/>
      <name val="Tahoma"/>
      <family val="2"/>
    </font>
    <font>
      <sz val="12"/>
      <color rgb="FFC00000"/>
      <name val="Calibri"/>
      <family val="2"/>
      <scheme val="minor"/>
    </font>
    <font>
      <sz val="9"/>
      <color rgb="FFFF0000"/>
      <name val="Arial"/>
      <family val="2"/>
    </font>
    <font>
      <b/>
      <sz val="11"/>
      <color theme="1"/>
      <name val="Arial"/>
      <family val="2"/>
    </font>
  </fonts>
  <fills count="35">
    <fill>
      <patternFill patternType="none"/>
    </fill>
    <fill>
      <patternFill patternType="gray125"/>
    </fill>
    <fill>
      <patternFill patternType="solid">
        <fgColor rgb="FFFFFFCC"/>
      </patternFill>
    </fill>
    <fill>
      <patternFill patternType="solid">
        <fgColor theme="7" tint="0.59999389629810485"/>
        <bgColor indexed="65"/>
      </patternFill>
    </fill>
    <fill>
      <patternFill patternType="solid">
        <fgColor theme="6" tint="0.59999389629810485"/>
        <bgColor indexed="64"/>
      </patternFill>
    </fill>
    <fill>
      <patternFill patternType="solid">
        <fgColor theme="9" tint="0.39997558519241921"/>
        <bgColor indexed="64"/>
      </patternFill>
    </fill>
    <fill>
      <patternFill patternType="solid">
        <fgColor rgb="FFD8E4BC"/>
        <bgColor rgb="FF000000"/>
      </patternFill>
    </fill>
    <fill>
      <patternFill patternType="solid">
        <fgColor theme="8" tint="0.59999389629810485"/>
        <bgColor indexed="64"/>
      </patternFill>
    </fill>
    <fill>
      <patternFill patternType="solid">
        <fgColor theme="6" tint="0.39997558519241921"/>
        <bgColor indexed="64"/>
      </patternFill>
    </fill>
    <fill>
      <patternFill patternType="solid">
        <fgColor indexed="22"/>
      </patternFill>
    </fill>
    <fill>
      <patternFill patternType="solid">
        <fgColor theme="6" tint="-0.249977111117893"/>
        <bgColor indexed="64"/>
      </patternFill>
    </fill>
    <fill>
      <patternFill patternType="solid">
        <fgColor theme="3" tint="0.39997558519241921"/>
        <bgColor indexed="64"/>
      </patternFill>
    </fill>
    <fill>
      <patternFill patternType="solid">
        <fgColor rgb="FFFFEB9C"/>
      </patternFill>
    </fill>
    <fill>
      <patternFill patternType="solid">
        <fgColor theme="0"/>
        <bgColor indexed="64"/>
      </patternFill>
    </fill>
    <fill>
      <patternFill patternType="solid">
        <fgColor theme="4" tint="0.79998168889431442"/>
        <bgColor indexed="64"/>
      </patternFill>
    </fill>
    <fill>
      <patternFill patternType="solid">
        <fgColor rgb="FF8FD7AA"/>
        <bgColor indexed="64"/>
      </patternFill>
    </fill>
    <fill>
      <patternFill patternType="solid">
        <fgColor theme="0" tint="-0.249977111117893"/>
        <bgColor indexed="64"/>
      </patternFill>
    </fill>
    <fill>
      <patternFill patternType="solid">
        <fgColor theme="7" tint="0.39997558519241921"/>
        <bgColor indexed="64"/>
      </patternFill>
    </fill>
    <fill>
      <patternFill patternType="solid">
        <fgColor theme="2" tint="-0.499984740745262"/>
        <bgColor indexed="64"/>
      </patternFill>
    </fill>
    <fill>
      <patternFill patternType="solid">
        <fgColor rgb="FFFFFF00"/>
        <bgColor indexed="64"/>
      </patternFill>
    </fill>
    <fill>
      <patternFill patternType="solid">
        <fgColor theme="5" tint="0.59999389629810485"/>
        <bgColor indexed="65"/>
      </patternFill>
    </fill>
    <fill>
      <patternFill patternType="solid">
        <fgColor theme="5" tint="0.59999389629810485"/>
        <bgColor indexed="64"/>
      </patternFill>
    </fill>
    <fill>
      <patternFill patternType="solid">
        <fgColor theme="4" tint="0.59999389629810485"/>
        <bgColor indexed="65"/>
      </patternFill>
    </fill>
    <fill>
      <patternFill patternType="solid">
        <fgColor theme="5" tint="0.79998168889431442"/>
        <bgColor indexed="65"/>
      </patternFill>
    </fill>
    <fill>
      <patternFill patternType="solid">
        <fgColor theme="6" tint="0.59999389629810485"/>
        <bgColor indexed="65"/>
      </patternFill>
    </fill>
    <fill>
      <patternFill patternType="solid">
        <fgColor theme="8" tint="0.79998168889431442"/>
        <bgColor indexed="65"/>
      </patternFill>
    </fill>
    <fill>
      <patternFill patternType="solid">
        <fgColor theme="8" tint="0.59999389629810485"/>
        <bgColor indexed="65"/>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0" tint="-4.9989318521683403E-2"/>
        <bgColor indexed="64"/>
      </patternFill>
    </fill>
    <fill>
      <patternFill patternType="solid">
        <fgColor theme="0" tint="-0.14999847407452621"/>
        <bgColor indexed="64"/>
      </patternFill>
    </fill>
    <fill>
      <patternFill patternType="solid">
        <fgColor theme="3" tint="0.79998168889431442"/>
        <bgColor indexed="64"/>
      </patternFill>
    </fill>
    <fill>
      <patternFill patternType="solid">
        <fgColor theme="9" tint="0.79998168889431442"/>
        <bgColor indexed="64"/>
      </patternFill>
    </fill>
    <fill>
      <patternFill patternType="solid">
        <fgColor theme="6" tint="0.79998168889431442"/>
        <bgColor indexed="64"/>
      </patternFill>
    </fill>
  </fills>
  <borders count="14">
    <border>
      <left/>
      <right/>
      <top/>
      <bottom/>
      <diagonal/>
    </border>
    <border>
      <left style="thin">
        <color rgb="FFB2B2B2"/>
      </left>
      <right style="thin">
        <color rgb="FFB2B2B2"/>
      </right>
      <top style="thin">
        <color rgb="FFB2B2B2"/>
      </top>
      <bottom style="thin">
        <color rgb="FFB2B2B2"/>
      </bottom>
      <diagonal/>
    </border>
    <border>
      <left style="thin">
        <color rgb="FFB2B2B2"/>
      </left>
      <right style="thin">
        <color rgb="FFB2B2B2"/>
      </right>
      <top/>
      <bottom style="thin">
        <color rgb="FFB2B2B2"/>
      </bottom>
      <diagonal/>
    </border>
    <border>
      <left style="thin">
        <color rgb="FFB2B2B2"/>
      </left>
      <right style="thin">
        <color rgb="FFB2B2B2"/>
      </right>
      <top/>
      <bottom/>
      <diagonal/>
    </border>
    <border>
      <left style="thin">
        <color rgb="FFB2B2B2"/>
      </left>
      <right/>
      <top/>
      <bottom/>
      <diagonal/>
    </border>
    <border>
      <left/>
      <right/>
      <top style="thin">
        <color auto="1"/>
      </top>
      <bottom/>
      <diagonal/>
    </border>
    <border>
      <left/>
      <right/>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right style="thin">
        <color rgb="FFB2B2B2"/>
      </right>
      <top/>
      <bottom/>
      <diagonal/>
    </border>
  </borders>
  <cellStyleXfs count="2222">
    <xf numFmtId="0" fontId="0" fillId="0" borderId="0"/>
    <xf numFmtId="0" fontId="7" fillId="3" borderId="1" applyFont="0" applyAlignment="0" applyProtection="0"/>
    <xf numFmtId="0" fontId="7" fillId="0" borderId="1" applyFont="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9"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6" fillId="9" borderId="0">
      <alignment wrapText="1"/>
    </xf>
    <xf numFmtId="0" fontId="6" fillId="0" borderId="0">
      <alignment wrapText="1"/>
    </xf>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5" fillId="3" borderId="1" applyFont="0" applyAlignment="0" applyProtection="0"/>
    <xf numFmtId="0" fontId="4" fillId="0" borderId="1" applyFont="0" applyAlignment="0" applyProtection="0"/>
    <xf numFmtId="0" fontId="4" fillId="2" borderId="1" applyNumberFormat="0" applyFont="0" applyAlignment="0" applyProtection="0"/>
    <xf numFmtId="0" fontId="4" fillId="3" borderId="1" applyFont="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3" fillId="3" borderId="1" applyFont="0" applyAlignment="0" applyProtection="0"/>
    <xf numFmtId="0" fontId="3" fillId="0" borderId="1" applyFont="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11" fillId="0" borderId="0" applyNumberFormat="0" applyFill="0" applyBorder="0" applyAlignment="0" applyProtection="0"/>
    <xf numFmtId="0" fontId="12" fillId="0" borderId="0" applyNumberFormat="0" applyFill="0" applyBorder="0" applyAlignment="0" applyProtection="0"/>
    <xf numFmtId="0" fontId="26" fillId="12" borderId="0" applyNumberFormat="0" applyBorder="0" applyAlignment="0" applyProtection="0"/>
    <xf numFmtId="0" fontId="3" fillId="2" borderId="1" applyNumberFormat="0" applyFont="0" applyAlignment="0" applyProtection="0"/>
    <xf numFmtId="0" fontId="3" fillId="0" borderId="1" applyFont="0" applyAlignment="0" applyProtection="0"/>
    <xf numFmtId="0" fontId="3" fillId="3" borderId="1" applyFont="0" applyAlignment="0" applyProtection="0"/>
    <xf numFmtId="0" fontId="2" fillId="20" borderId="0" applyNumberFormat="0" applyBorder="0" applyAlignment="0" applyProtection="0"/>
    <xf numFmtId="0" fontId="2" fillId="3"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cellStyleXfs>
  <cellXfs count="169">
    <xf numFmtId="0" fontId="0" fillId="0" borderId="0" xfId="0"/>
    <xf numFmtId="0" fontId="15" fillId="0" borderId="0" xfId="0" applyFont="1"/>
    <xf numFmtId="165" fontId="10" fillId="0" borderId="0" xfId="0" applyNumberFormat="1" applyFont="1" applyAlignment="1">
      <alignment horizontal="right"/>
    </xf>
    <xf numFmtId="165" fontId="16" fillId="0" borderId="0" xfId="0" applyNumberFormat="1" applyFont="1" applyAlignment="1">
      <alignment horizontal="right" vertical="center"/>
    </xf>
    <xf numFmtId="0" fontId="8" fillId="0" borderId="1" xfId="0" applyFont="1" applyBorder="1" applyAlignment="1" applyProtection="1">
      <alignment horizontal="left" vertical="center"/>
      <protection locked="0"/>
    </xf>
    <xf numFmtId="1" fontId="16" fillId="0" borderId="0" xfId="0" applyNumberFormat="1" applyFont="1" applyAlignment="1">
      <alignment horizontal="right" vertical="center"/>
    </xf>
    <xf numFmtId="165" fontId="16" fillId="5" borderId="0" xfId="0" applyNumberFormat="1" applyFont="1" applyFill="1" applyAlignment="1">
      <alignment horizontal="left" vertical="center"/>
    </xf>
    <xf numFmtId="165" fontId="16" fillId="8" borderId="0" xfId="0" applyNumberFormat="1" applyFont="1" applyFill="1" applyAlignment="1">
      <alignment horizontal="right" vertical="center"/>
    </xf>
    <xf numFmtId="0" fontId="4" fillId="0" borderId="0" xfId="0" applyFont="1"/>
    <xf numFmtId="0" fontId="8" fillId="0" borderId="1" xfId="935" applyFont="1" applyAlignment="1" applyProtection="1">
      <alignment horizontal="left" vertical="center"/>
      <protection locked="0"/>
    </xf>
    <xf numFmtId="164" fontId="4" fillId="0" borderId="0" xfId="0" applyNumberFormat="1" applyFont="1"/>
    <xf numFmtId="1" fontId="9" fillId="0" borderId="1" xfId="935" applyNumberFormat="1" applyFont="1" applyAlignment="1" applyProtection="1">
      <alignment horizontal="right" vertical="center"/>
      <protection locked="0"/>
    </xf>
    <xf numFmtId="1" fontId="4" fillId="0" borderId="0" xfId="0" applyNumberFormat="1" applyFont="1"/>
    <xf numFmtId="1" fontId="4" fillId="0" borderId="1" xfId="935" applyNumberFormat="1" applyFont="1"/>
    <xf numFmtId="1" fontId="16" fillId="0" borderId="0" xfId="0" applyNumberFormat="1" applyFont="1" applyAlignment="1">
      <alignment horizontal="left" vertical="center"/>
    </xf>
    <xf numFmtId="0" fontId="4" fillId="0" borderId="0" xfId="0" applyFont="1" applyAlignment="1">
      <alignment horizontal="left"/>
    </xf>
    <xf numFmtId="2" fontId="4" fillId="0" borderId="0" xfId="0" applyNumberFormat="1" applyFont="1" applyAlignment="1">
      <alignment horizontal="right"/>
    </xf>
    <xf numFmtId="164" fontId="8" fillId="4" borderId="1" xfId="936" applyNumberFormat="1" applyFont="1" applyFill="1" applyAlignment="1" applyProtection="1">
      <alignment horizontal="center"/>
      <protection locked="0"/>
    </xf>
    <xf numFmtId="1" fontId="8" fillId="0" borderId="1" xfId="935" applyNumberFormat="1" applyFont="1" applyAlignment="1" applyProtection="1">
      <alignment horizontal="right" vertical="center"/>
      <protection locked="0"/>
    </xf>
    <xf numFmtId="164" fontId="8" fillId="6" borderId="1" xfId="0" applyNumberFormat="1" applyFont="1" applyFill="1" applyBorder="1" applyAlignment="1" applyProtection="1">
      <alignment horizontal="center"/>
      <protection locked="0"/>
    </xf>
    <xf numFmtId="1" fontId="8" fillId="0" borderId="1" xfId="0" applyNumberFormat="1" applyFont="1" applyBorder="1" applyAlignment="1" applyProtection="1">
      <alignment horizontal="right" vertical="center"/>
      <protection locked="0"/>
    </xf>
    <xf numFmtId="1" fontId="8" fillId="0" borderId="2" xfId="0" applyNumberFormat="1" applyFont="1" applyBorder="1" applyAlignment="1" applyProtection="1">
      <alignment horizontal="right" vertical="center"/>
      <protection locked="0"/>
    </xf>
    <xf numFmtId="1" fontId="8" fillId="7" borderId="1" xfId="935" applyNumberFormat="1" applyFont="1" applyFill="1" applyAlignment="1"/>
    <xf numFmtId="1" fontId="15" fillId="5" borderId="1" xfId="935" applyNumberFormat="1" applyFont="1" applyFill="1" applyAlignment="1"/>
    <xf numFmtId="0" fontId="24" fillId="0" borderId="0" xfId="0" applyFont="1"/>
    <xf numFmtId="165" fontId="16" fillId="8" borderId="0" xfId="0" applyNumberFormat="1" applyFont="1" applyFill="1" applyAlignment="1">
      <alignment horizontal="left" vertical="center"/>
    </xf>
    <xf numFmtId="1" fontId="16" fillId="10" borderId="0" xfId="0" applyNumberFormat="1" applyFont="1" applyFill="1" applyAlignment="1">
      <alignment horizontal="right" vertical="center"/>
    </xf>
    <xf numFmtId="165" fontId="16" fillId="10" borderId="0" xfId="0" applyNumberFormat="1" applyFont="1" applyFill="1" applyAlignment="1">
      <alignment horizontal="left" vertical="center"/>
    </xf>
    <xf numFmtId="0" fontId="15" fillId="10" borderId="0" xfId="0" applyFont="1" applyFill="1"/>
    <xf numFmtId="0" fontId="8" fillId="11" borderId="1" xfId="937" applyFont="1" applyFill="1" applyAlignment="1" applyProtection="1">
      <alignment horizontal="center" vertical="center"/>
      <protection locked="0"/>
    </xf>
    <xf numFmtId="0" fontId="8" fillId="11" borderId="1" xfId="937" applyFont="1" applyFill="1" applyAlignment="1" applyProtection="1">
      <alignment horizontal="left" vertical="center"/>
      <protection locked="0"/>
    </xf>
    <xf numFmtId="164" fontId="8" fillId="11" borderId="1" xfId="937" applyNumberFormat="1" applyFont="1" applyFill="1" applyAlignment="1" applyProtection="1">
      <alignment horizontal="center" vertical="center"/>
      <protection locked="0"/>
    </xf>
    <xf numFmtId="166" fontId="16" fillId="0" borderId="0" xfId="0" applyNumberFormat="1" applyFont="1" applyAlignment="1">
      <alignment horizontal="right" vertical="center"/>
    </xf>
    <xf numFmtId="0" fontId="15" fillId="0" borderId="1" xfId="0" applyFont="1" applyBorder="1"/>
    <xf numFmtId="0" fontId="8" fillId="0" borderId="0" xfId="935" applyFont="1" applyBorder="1" applyAlignment="1" applyProtection="1">
      <alignment horizontal="left" vertical="center"/>
      <protection locked="0"/>
    </xf>
    <xf numFmtId="166" fontId="16" fillId="10" borderId="0" xfId="0" applyNumberFormat="1" applyFont="1" applyFill="1" applyAlignment="1">
      <alignment horizontal="left" vertical="center"/>
    </xf>
    <xf numFmtId="1" fontId="8" fillId="0" borderId="0" xfId="935" applyNumberFormat="1" applyFont="1" applyBorder="1" applyAlignment="1" applyProtection="1">
      <alignment horizontal="right" vertical="center"/>
      <protection locked="0"/>
    </xf>
    <xf numFmtId="0" fontId="8" fillId="0" borderId="0" xfId="0" applyFont="1" applyAlignment="1" applyProtection="1">
      <alignment horizontal="left" vertical="center"/>
      <protection locked="0"/>
    </xf>
    <xf numFmtId="0" fontId="15" fillId="0" borderId="3" xfId="0" applyFont="1" applyBorder="1"/>
    <xf numFmtId="1" fontId="4" fillId="0" borderId="0" xfId="0" applyNumberFormat="1" applyFont="1" applyAlignment="1">
      <alignment horizontal="right"/>
    </xf>
    <xf numFmtId="0" fontId="30" fillId="0" borderId="0" xfId="0" applyFont="1"/>
    <xf numFmtId="0" fontId="34" fillId="13" borderId="0" xfId="0" applyFont="1" applyFill="1"/>
    <xf numFmtId="0" fontId="0" fillId="13" borderId="0" xfId="0" applyFill="1"/>
    <xf numFmtId="0" fontId="31" fillId="13" borderId="6" xfId="0" applyFont="1" applyFill="1" applyBorder="1"/>
    <xf numFmtId="0" fontId="0" fillId="13" borderId="6" xfId="0" applyFill="1" applyBorder="1"/>
    <xf numFmtId="0" fontId="31" fillId="13" borderId="0" xfId="0" applyFont="1" applyFill="1"/>
    <xf numFmtId="0" fontId="0" fillId="13" borderId="5" xfId="0" applyFill="1" applyBorder="1"/>
    <xf numFmtId="0" fontId="0" fillId="13" borderId="7" xfId="0" applyFill="1" applyBorder="1"/>
    <xf numFmtId="0" fontId="0" fillId="13" borderId="8" xfId="0" applyFill="1" applyBorder="1"/>
    <xf numFmtId="0" fontId="0" fillId="13" borderId="9" xfId="0" applyFill="1" applyBorder="1"/>
    <xf numFmtId="0" fontId="0" fillId="13" borderId="10" xfId="0" applyFill="1" applyBorder="1"/>
    <xf numFmtId="0" fontId="33" fillId="13" borderId="0" xfId="0" applyFont="1" applyFill="1"/>
    <xf numFmtId="0" fontId="0" fillId="13" borderId="11" xfId="0" applyFill="1" applyBorder="1"/>
    <xf numFmtId="0" fontId="0" fillId="13" borderId="12" xfId="0" applyFill="1" applyBorder="1"/>
    <xf numFmtId="0" fontId="35" fillId="13" borderId="0" xfId="0" applyFont="1" applyFill="1"/>
    <xf numFmtId="165" fontId="0" fillId="13" borderId="0" xfId="0" applyNumberFormat="1" applyFill="1"/>
    <xf numFmtId="1" fontId="0" fillId="13" borderId="0" xfId="0" applyNumberFormat="1" applyFill="1"/>
    <xf numFmtId="0" fontId="35" fillId="13" borderId="6" xfId="0" applyFont="1" applyFill="1" applyBorder="1"/>
    <xf numFmtId="165" fontId="0" fillId="13" borderId="6" xfId="0" applyNumberFormat="1" applyFill="1" applyBorder="1"/>
    <xf numFmtId="1" fontId="0" fillId="13" borderId="6" xfId="0" applyNumberFormat="1" applyFill="1" applyBorder="1"/>
    <xf numFmtId="0" fontId="32" fillId="13" borderId="0" xfId="0" quotePrefix="1" applyFont="1" applyFill="1"/>
    <xf numFmtId="0" fontId="33" fillId="13" borderId="6" xfId="0" applyFont="1" applyFill="1" applyBorder="1"/>
    <xf numFmtId="0" fontId="36" fillId="13" borderId="0" xfId="0" applyFont="1" applyFill="1"/>
    <xf numFmtId="0" fontId="27" fillId="13" borderId="0" xfId="935" applyFont="1" applyFill="1" applyBorder="1" applyAlignment="1" applyProtection="1">
      <alignment horizontal="left" vertical="center"/>
      <protection locked="0"/>
    </xf>
    <xf numFmtId="0" fontId="37" fillId="13" borderId="0" xfId="0" applyFont="1" applyFill="1"/>
    <xf numFmtId="0" fontId="29" fillId="0" borderId="0" xfId="0" applyFont="1"/>
    <xf numFmtId="0" fontId="29" fillId="8" borderId="0" xfId="0" applyFont="1" applyFill="1"/>
    <xf numFmtId="0" fontId="29" fillId="10" borderId="0" xfId="0" applyFont="1" applyFill="1"/>
    <xf numFmtId="0" fontId="29" fillId="14" borderId="0" xfId="0" applyFont="1" applyFill="1"/>
    <xf numFmtId="0" fontId="29" fillId="17" borderId="0" xfId="0" applyFont="1" applyFill="1"/>
    <xf numFmtId="0" fontId="38" fillId="0" borderId="1" xfId="935" applyFont="1" applyAlignment="1" applyProtection="1">
      <alignment horizontal="left" vertical="center"/>
      <protection locked="0"/>
    </xf>
    <xf numFmtId="0" fontId="38" fillId="5" borderId="0" xfId="0" applyFont="1" applyFill="1"/>
    <xf numFmtId="0" fontId="29" fillId="18" borderId="0" xfId="0" applyFont="1" applyFill="1"/>
    <xf numFmtId="0" fontId="38" fillId="16" borderId="0" xfId="0" applyFont="1" applyFill="1"/>
    <xf numFmtId="0" fontId="39" fillId="0" borderId="0" xfId="0" applyFont="1" applyAlignment="1">
      <alignment horizontal="left"/>
    </xf>
    <xf numFmtId="1" fontId="15" fillId="0" borderId="1" xfId="935" applyNumberFormat="1" applyFont="1"/>
    <xf numFmtId="0" fontId="38" fillId="0" borderId="0" xfId="0" applyFont="1"/>
    <xf numFmtId="0" fontId="33" fillId="0" borderId="0" xfId="0" applyFont="1"/>
    <xf numFmtId="0" fontId="40" fillId="0" borderId="0" xfId="0" applyFont="1"/>
    <xf numFmtId="0" fontId="29" fillId="0" borderId="0" xfId="0" applyFont="1" applyAlignment="1">
      <alignment wrapText="1"/>
    </xf>
    <xf numFmtId="0" fontId="0" fillId="0" borderId="0" xfId="0" applyAlignment="1">
      <alignment wrapText="1"/>
    </xf>
    <xf numFmtId="0" fontId="32" fillId="0" borderId="0" xfId="0" applyFont="1"/>
    <xf numFmtId="0" fontId="29" fillId="19" borderId="0" xfId="0" applyFont="1" applyFill="1"/>
    <xf numFmtId="0" fontId="43" fillId="13" borderId="0" xfId="0" applyFont="1" applyFill="1"/>
    <xf numFmtId="0" fontId="44" fillId="13" borderId="0" xfId="0" applyFont="1" applyFill="1"/>
    <xf numFmtId="0" fontId="8" fillId="0" borderId="1" xfId="2210" applyFont="1" applyAlignment="1" applyProtection="1">
      <alignment horizontal="left" vertical="center"/>
      <protection locked="0"/>
    </xf>
    <xf numFmtId="0" fontId="8" fillId="0" borderId="3" xfId="2210" applyFont="1" applyBorder="1" applyAlignment="1" applyProtection="1">
      <alignment horizontal="left" vertical="center"/>
      <protection locked="0"/>
    </xf>
    <xf numFmtId="0" fontId="8" fillId="0" borderId="13" xfId="2210" applyFont="1" applyBorder="1" applyAlignment="1" applyProtection="1">
      <alignment horizontal="left" vertical="center"/>
      <protection locked="0"/>
    </xf>
    <xf numFmtId="1" fontId="9" fillId="0" borderId="1" xfId="2210" applyNumberFormat="1" applyFont="1" applyAlignment="1" applyProtection="1">
      <alignment horizontal="right" vertical="center"/>
      <protection locked="0"/>
    </xf>
    <xf numFmtId="1" fontId="15" fillId="15" borderId="3" xfId="2210" applyNumberFormat="1" applyFont="1" applyFill="1" applyBorder="1" applyAlignment="1"/>
    <xf numFmtId="0" fontId="0" fillId="13" borderId="0" xfId="0" quotePrefix="1" applyFill="1"/>
    <xf numFmtId="0" fontId="8" fillId="0" borderId="4" xfId="2210" applyFont="1" applyBorder="1" applyAlignment="1" applyProtection="1">
      <alignment horizontal="left" vertical="center"/>
      <protection locked="0"/>
    </xf>
    <xf numFmtId="1" fontId="8" fillId="0" borderId="2" xfId="935" applyNumberFormat="1" applyFont="1" applyBorder="1" applyAlignment="1" applyProtection="1">
      <alignment horizontal="right" vertical="center"/>
      <protection locked="0"/>
    </xf>
    <xf numFmtId="0" fontId="15" fillId="0" borderId="4" xfId="0" applyFont="1" applyBorder="1"/>
    <xf numFmtId="1" fontId="15" fillId="20" borderId="1" xfId="2212" applyNumberFormat="1" applyFont="1" applyBorder="1" applyAlignment="1"/>
    <xf numFmtId="1" fontId="15" fillId="20" borderId="3" xfId="2212" applyNumberFormat="1" applyFont="1" applyBorder="1" applyAlignment="1"/>
    <xf numFmtId="0" fontId="47" fillId="0" borderId="0" xfId="0" applyFont="1"/>
    <xf numFmtId="0" fontId="29" fillId="0" borderId="0" xfId="0" applyFont="1" applyAlignment="1">
      <alignment horizontal="left"/>
    </xf>
    <xf numFmtId="1" fontId="15" fillId="3" borderId="3" xfId="2213" applyNumberFormat="1" applyFont="1" applyBorder="1" applyAlignment="1"/>
    <xf numFmtId="1" fontId="15" fillId="21" borderId="3" xfId="2213" applyNumberFormat="1" applyFont="1" applyFill="1" applyBorder="1" applyAlignment="1"/>
    <xf numFmtId="1" fontId="8" fillId="11" borderId="1" xfId="937" applyNumberFormat="1" applyFont="1" applyFill="1" applyAlignment="1" applyProtection="1">
      <alignment horizontal="center" vertical="center"/>
      <protection locked="0"/>
    </xf>
    <xf numFmtId="1" fontId="8" fillId="11" borderId="1" xfId="937" applyNumberFormat="1" applyFont="1" applyFill="1" applyAlignment="1" applyProtection="1">
      <alignment horizontal="right" vertical="center"/>
      <protection locked="0"/>
    </xf>
    <xf numFmtId="2" fontId="8" fillId="11" borderId="1" xfId="937" applyNumberFormat="1" applyFont="1" applyFill="1" applyAlignment="1" applyProtection="1">
      <alignment horizontal="right" vertical="center"/>
      <protection locked="0"/>
    </xf>
    <xf numFmtId="0" fontId="15" fillId="11" borderId="1" xfId="937" applyFont="1" applyFill="1"/>
    <xf numFmtId="0" fontId="8" fillId="5" borderId="1" xfId="937" applyFont="1" applyFill="1" applyAlignment="1" applyProtection="1">
      <alignment horizontal="center" vertical="center"/>
      <protection locked="0"/>
    </xf>
    <xf numFmtId="1" fontId="8" fillId="5" borderId="1" xfId="937" applyNumberFormat="1" applyFont="1" applyFill="1" applyAlignment="1" applyProtection="1">
      <alignment horizontal="center" vertical="center"/>
      <protection locked="0"/>
    </xf>
    <xf numFmtId="1" fontId="15" fillId="28" borderId="3" xfId="2220" applyNumberFormat="1" applyFont="1" applyBorder="1" applyAlignment="1"/>
    <xf numFmtId="1" fontId="2" fillId="3" borderId="1" xfId="2213" applyNumberFormat="1" applyBorder="1" applyAlignment="1"/>
    <xf numFmtId="1" fontId="2" fillId="20" borderId="1" xfId="2212" applyNumberFormat="1" applyBorder="1" applyAlignment="1"/>
    <xf numFmtId="1" fontId="1" fillId="24" borderId="1" xfId="2216" applyNumberFormat="1" applyBorder="1" applyAlignment="1"/>
    <xf numFmtId="1" fontId="1" fillId="24" borderId="1" xfId="2216" applyNumberFormat="1" applyBorder="1"/>
    <xf numFmtId="1" fontId="1" fillId="22" borderId="1" xfId="2214" applyNumberFormat="1" applyBorder="1" applyAlignment="1"/>
    <xf numFmtId="1" fontId="1" fillId="27" borderId="1" xfId="2219" applyNumberFormat="1" applyBorder="1" applyAlignment="1"/>
    <xf numFmtId="1" fontId="1" fillId="25" borderId="1" xfId="2217" applyNumberFormat="1" applyBorder="1" applyAlignment="1"/>
    <xf numFmtId="1" fontId="1" fillId="23" borderId="1" xfId="2215" applyNumberFormat="1" applyBorder="1" applyAlignment="1"/>
    <xf numFmtId="1" fontId="1" fillId="26" borderId="1" xfId="2218" applyNumberFormat="1" applyBorder="1" applyAlignment="1"/>
    <xf numFmtId="1" fontId="1" fillId="29" borderId="1" xfId="2221" applyNumberFormat="1" applyBorder="1" applyAlignment="1"/>
    <xf numFmtId="1" fontId="15" fillId="30" borderId="1" xfId="935" applyNumberFormat="1" applyFont="1" applyFill="1" applyAlignment="1">
      <alignment horizontal="left" indent="2"/>
    </xf>
    <xf numFmtId="1" fontId="15" fillId="31" borderId="1" xfId="935" applyNumberFormat="1" applyFont="1" applyFill="1" applyAlignment="1">
      <alignment horizontal="left" indent="2"/>
    </xf>
    <xf numFmtId="1" fontId="15" fillId="31" borderId="3" xfId="2210" applyNumberFormat="1" applyFont="1" applyFill="1" applyBorder="1" applyAlignment="1">
      <alignment horizontal="left" indent="2"/>
    </xf>
    <xf numFmtId="1" fontId="15" fillId="30" borderId="3" xfId="2210" applyNumberFormat="1" applyFont="1" applyFill="1" applyBorder="1" applyAlignment="1">
      <alignment horizontal="left" indent="2"/>
    </xf>
    <xf numFmtId="1" fontId="15" fillId="30" borderId="1" xfId="2210" applyNumberFormat="1" applyFont="1" applyFill="1" applyAlignment="1">
      <alignment horizontal="left" indent="2"/>
    </xf>
    <xf numFmtId="0" fontId="16" fillId="0" borderId="0" xfId="0" applyFont="1" applyAlignment="1">
      <alignment horizontal="right" vertical="center"/>
    </xf>
    <xf numFmtId="0" fontId="16" fillId="0" borderId="0" xfId="0" applyFont="1" applyAlignment="1">
      <alignment horizontal="left" vertical="center"/>
    </xf>
    <xf numFmtId="0" fontId="15" fillId="0" borderId="0" xfId="0" applyFont="1" applyAlignment="1">
      <alignment horizontal="right"/>
    </xf>
    <xf numFmtId="0" fontId="17" fillId="0" borderId="0" xfId="0" applyFont="1" applyAlignment="1">
      <alignment horizontal="right" vertical="center"/>
    </xf>
    <xf numFmtId="0" fontId="16" fillId="0" borderId="0" xfId="0" applyFont="1" applyAlignment="1">
      <alignment vertical="center"/>
    </xf>
    <xf numFmtId="0" fontId="28" fillId="0" borderId="0" xfId="0" applyFont="1"/>
    <xf numFmtId="0" fontId="9" fillId="0" borderId="1" xfId="935" applyFont="1" applyAlignment="1" applyProtection="1">
      <alignment horizontal="right" vertical="center"/>
      <protection locked="0"/>
    </xf>
    <xf numFmtId="0" fontId="9" fillId="0" borderId="1" xfId="2210" applyFont="1" applyAlignment="1" applyProtection="1">
      <alignment horizontal="right" vertical="center"/>
      <protection locked="0"/>
    </xf>
    <xf numFmtId="0" fontId="3" fillId="0" borderId="0" xfId="0" applyFont="1" applyAlignment="1">
      <alignment horizontal="right"/>
    </xf>
    <xf numFmtId="0" fontId="3" fillId="0" borderId="0" xfId="0" applyFont="1"/>
    <xf numFmtId="0" fontId="10" fillId="0" borderId="0" xfId="0" applyFont="1" applyAlignment="1">
      <alignment horizontal="right"/>
    </xf>
    <xf numFmtId="0" fontId="15" fillId="0" borderId="0" xfId="0" applyFont="1" applyAlignment="1">
      <alignment horizontal="left"/>
    </xf>
    <xf numFmtId="0" fontId="4" fillId="0" borderId="0" xfId="0" applyFont="1" applyAlignment="1">
      <alignment horizontal="right"/>
    </xf>
    <xf numFmtId="0" fontId="15" fillId="19" borderId="0" xfId="0" applyFont="1" applyFill="1" applyAlignment="1">
      <alignment horizontal="right"/>
    </xf>
    <xf numFmtId="0" fontId="15" fillId="19" borderId="0" xfId="0" applyFont="1" applyFill="1"/>
    <xf numFmtId="0" fontId="17" fillId="0" borderId="0" xfId="0" applyFont="1"/>
    <xf numFmtId="0" fontId="18" fillId="0" borderId="0" xfId="0" applyFont="1"/>
    <xf numFmtId="0" fontId="18" fillId="0" borderId="0" xfId="0" applyFont="1" applyAlignment="1">
      <alignment horizontal="right"/>
    </xf>
    <xf numFmtId="0" fontId="8" fillId="0" borderId="0" xfId="0" applyFont="1" applyAlignment="1">
      <alignment horizontal="left" vertical="center"/>
    </xf>
    <xf numFmtId="0" fontId="8" fillId="0" borderId="0" xfId="0" applyFont="1"/>
    <xf numFmtId="0" fontId="22" fillId="0" borderId="0" xfId="723" applyNumberFormat="1" applyFont="1" applyAlignment="1">
      <alignment horizontal="right" vertical="center"/>
    </xf>
    <xf numFmtId="0" fontId="23" fillId="0" borderId="0" xfId="723" applyNumberFormat="1" applyFont="1" applyAlignment="1">
      <alignment horizontal="left" vertical="center"/>
    </xf>
    <xf numFmtId="0" fontId="22" fillId="0" borderId="0" xfId="723" applyNumberFormat="1" applyFont="1" applyFill="1" applyAlignment="1">
      <alignment horizontal="right" vertical="center"/>
    </xf>
    <xf numFmtId="0" fontId="22" fillId="0" borderId="0" xfId="723" applyNumberFormat="1" applyFont="1" applyFill="1" applyAlignment="1">
      <alignment horizontal="left" vertical="center"/>
    </xf>
    <xf numFmtId="0" fontId="8" fillId="0" borderId="0" xfId="935" applyFont="1" applyBorder="1" applyAlignment="1" applyProtection="1">
      <alignment horizontal="right" vertical="center"/>
      <protection locked="0"/>
    </xf>
    <xf numFmtId="0" fontId="8" fillId="0" borderId="4" xfId="935" applyFont="1" applyBorder="1" applyAlignment="1" applyProtection="1">
      <alignment horizontal="right" vertical="center"/>
      <protection locked="0"/>
    </xf>
    <xf numFmtId="0" fontId="16" fillId="0" borderId="4" xfId="0" applyFont="1" applyBorder="1" applyAlignment="1">
      <alignment horizontal="right" vertical="center"/>
    </xf>
    <xf numFmtId="0" fontId="15" fillId="0" borderId="0" xfId="0" applyFont="1" applyAlignment="1">
      <alignment vertical="center"/>
    </xf>
    <xf numFmtId="0" fontId="20" fillId="0" borderId="0" xfId="0" applyFont="1" applyAlignment="1">
      <alignment horizontal="right" vertical="center"/>
    </xf>
    <xf numFmtId="0" fontId="15" fillId="0" borderId="3" xfId="0" applyFont="1" applyBorder="1" applyAlignment="1">
      <alignment vertical="center"/>
    </xf>
    <xf numFmtId="0" fontId="25" fillId="0" borderId="0" xfId="0" applyFont="1"/>
    <xf numFmtId="0" fontId="8" fillId="0" borderId="3" xfId="935" applyFont="1" applyBorder="1" applyAlignment="1" applyProtection="1">
      <alignment horizontal="right" vertical="center"/>
      <protection locked="0"/>
    </xf>
    <xf numFmtId="0" fontId="16" fillId="19" borderId="0" xfId="0" applyFont="1" applyFill="1" applyAlignment="1">
      <alignment horizontal="right" vertical="center"/>
    </xf>
    <xf numFmtId="0" fontId="15" fillId="21" borderId="0" xfId="0" applyFont="1" applyFill="1" applyAlignment="1">
      <alignment horizontal="right"/>
    </xf>
    <xf numFmtId="0" fontId="16" fillId="19" borderId="0" xfId="0" applyFont="1" applyFill="1" applyAlignment="1">
      <alignment horizontal="left" vertical="center"/>
    </xf>
    <xf numFmtId="0" fontId="16" fillId="19" borderId="0" xfId="0" applyFont="1" applyFill="1" applyAlignment="1">
      <alignment vertical="center"/>
    </xf>
    <xf numFmtId="0" fontId="28" fillId="19" borderId="0" xfId="0" applyFont="1" applyFill="1"/>
    <xf numFmtId="0" fontId="3" fillId="19" borderId="0" xfId="0" applyFont="1" applyFill="1"/>
    <xf numFmtId="0" fontId="51" fillId="19" borderId="0" xfId="0" applyFont="1" applyFill="1"/>
    <xf numFmtId="0" fontId="50" fillId="19" borderId="0" xfId="0" applyFont="1" applyFill="1" applyAlignment="1">
      <alignment horizontal="left"/>
    </xf>
    <xf numFmtId="1" fontId="15" fillId="32" borderId="3" xfId="2220" applyNumberFormat="1" applyFont="1" applyFill="1" applyBorder="1" applyAlignment="1"/>
    <xf numFmtId="1" fontId="15" fillId="0" borderId="1" xfId="2210" applyNumberFormat="1" applyFont="1"/>
    <xf numFmtId="164" fontId="8" fillId="4" borderId="1" xfId="2209" applyNumberFormat="1" applyFont="1" applyFill="1" applyAlignment="1" applyProtection="1">
      <alignment horizontal="center"/>
      <protection locked="0"/>
    </xf>
    <xf numFmtId="1" fontId="3" fillId="0" borderId="0" xfId="0" applyNumberFormat="1" applyFont="1" applyAlignment="1">
      <alignment horizontal="right"/>
    </xf>
    <xf numFmtId="2" fontId="3" fillId="0" borderId="0" xfId="0" applyNumberFormat="1" applyFont="1" applyAlignment="1">
      <alignment horizontal="right"/>
    </xf>
    <xf numFmtId="1" fontId="15" fillId="33" borderId="1" xfId="2210" applyNumberFormat="1" applyFont="1" applyFill="1"/>
    <xf numFmtId="1" fontId="15" fillId="34" borderId="1" xfId="2210" applyNumberFormat="1" applyFont="1" applyFill="1"/>
  </cellXfs>
  <cellStyles count="2222">
    <cellStyle name="20% - Accent2" xfId="2215" builtinId="34"/>
    <cellStyle name="20% - Accent5" xfId="2217" builtinId="46"/>
    <cellStyle name="20% - Accent6" xfId="2219" builtinId="50"/>
    <cellStyle name="40% - Accent1" xfId="2214" builtinId="31"/>
    <cellStyle name="40% - Accent2" xfId="2212" builtinId="35"/>
    <cellStyle name="40% - Accent3" xfId="2216" builtinId="39"/>
    <cellStyle name="40% - Accent4" xfId="2213" builtinId="43"/>
    <cellStyle name="40% - Accent5" xfId="2218" builtinId="47"/>
    <cellStyle name="40% - Accent6" xfId="2220" builtinId="51"/>
    <cellStyle name="60% - Accent6" xfId="2221" builtinId="52"/>
    <cellStyle name="Explanatory Text" xfId="723" builtinId="53"/>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Followed Hyperlink" xfId="56" builtinId="9" hidden="1"/>
    <cellStyle name="Followed Hyperlink" xfId="58" builtinId="9" hidden="1"/>
    <cellStyle name="Followed Hyperlink" xfId="60" builtinId="9" hidden="1"/>
    <cellStyle name="Followed Hyperlink" xfId="62" builtinId="9" hidden="1"/>
    <cellStyle name="Followed Hyperlink" xfId="64" builtinId="9" hidden="1"/>
    <cellStyle name="Followed Hyperlink" xfId="66" builtinId="9" hidden="1"/>
    <cellStyle name="Followed Hyperlink" xfId="68" builtinId="9" hidden="1"/>
    <cellStyle name="Followed Hyperlink" xfId="70" builtinId="9" hidden="1"/>
    <cellStyle name="Followed Hyperlink" xfId="72" builtinId="9" hidden="1"/>
    <cellStyle name="Followed Hyperlink" xfId="74" builtinId="9" hidden="1"/>
    <cellStyle name="Followed Hyperlink" xfId="76" builtinId="9" hidden="1"/>
    <cellStyle name="Followed Hyperlink" xfId="78" builtinId="9" hidden="1"/>
    <cellStyle name="Followed Hyperlink" xfId="80" builtinId="9" hidden="1"/>
    <cellStyle name="Followed Hyperlink" xfId="82" builtinId="9" hidden="1"/>
    <cellStyle name="Followed Hyperlink" xfId="84" builtinId="9" hidden="1"/>
    <cellStyle name="Followed Hyperlink" xfId="86" builtinId="9" hidden="1"/>
    <cellStyle name="Followed Hyperlink" xfId="88" builtinId="9" hidden="1"/>
    <cellStyle name="Followed Hyperlink" xfId="90" builtinId="9" hidden="1"/>
    <cellStyle name="Followed Hyperlink" xfId="92" builtinId="9" hidden="1"/>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80" builtinId="9" hidden="1"/>
    <cellStyle name="Followed Hyperlink" xfId="182" builtinId="9" hidden="1"/>
    <cellStyle name="Followed Hyperlink" xfId="184" builtinId="9" hidden="1"/>
    <cellStyle name="Followed Hyperlink" xfId="186" builtinId="9" hidden="1"/>
    <cellStyle name="Followed Hyperlink" xfId="188" builtinId="9" hidden="1"/>
    <cellStyle name="Followed Hyperlink" xfId="190" builtinId="9" hidden="1"/>
    <cellStyle name="Followed Hyperlink" xfId="192" builtinId="9" hidden="1"/>
    <cellStyle name="Followed Hyperlink" xfId="194" builtinId="9" hidden="1"/>
    <cellStyle name="Followed Hyperlink" xfId="196" builtinId="9" hidden="1"/>
    <cellStyle name="Followed Hyperlink" xfId="198" builtinId="9" hidden="1"/>
    <cellStyle name="Followed Hyperlink" xfId="200" builtinId="9" hidden="1"/>
    <cellStyle name="Followed Hyperlink" xfId="202" builtinId="9" hidden="1"/>
    <cellStyle name="Followed Hyperlink" xfId="204" builtinId="9" hidden="1"/>
    <cellStyle name="Followed Hyperlink" xfId="206" builtinId="9" hidden="1"/>
    <cellStyle name="Followed Hyperlink" xfId="208" builtinId="9" hidden="1"/>
    <cellStyle name="Followed Hyperlink" xfId="210" builtinId="9" hidden="1"/>
    <cellStyle name="Followed Hyperlink" xfId="212" builtinId="9" hidden="1"/>
    <cellStyle name="Followed Hyperlink" xfId="214" builtinId="9" hidden="1"/>
    <cellStyle name="Followed Hyperlink" xfId="216" builtinId="9" hidden="1"/>
    <cellStyle name="Followed Hyperlink" xfId="218" builtinId="9" hidden="1"/>
    <cellStyle name="Followed Hyperlink" xfId="220" builtinId="9" hidden="1"/>
    <cellStyle name="Followed Hyperlink" xfId="222" builtinId="9" hidden="1"/>
    <cellStyle name="Followed Hyperlink" xfId="224" builtinId="9" hidden="1"/>
    <cellStyle name="Followed Hyperlink" xfId="226" builtinId="9" hidden="1"/>
    <cellStyle name="Followed Hyperlink" xfId="228" builtinId="9" hidden="1"/>
    <cellStyle name="Followed Hyperlink" xfId="230" builtinId="9" hidden="1"/>
    <cellStyle name="Followed Hyperlink" xfId="232" builtinId="9" hidden="1"/>
    <cellStyle name="Followed Hyperlink" xfId="234" builtinId="9" hidden="1"/>
    <cellStyle name="Followed Hyperlink" xfId="236" builtinId="9" hidden="1"/>
    <cellStyle name="Followed Hyperlink" xfId="238" builtinId="9" hidden="1"/>
    <cellStyle name="Followed Hyperlink" xfId="240" builtinId="9" hidden="1"/>
    <cellStyle name="Followed Hyperlink" xfId="242" builtinId="9" hidden="1"/>
    <cellStyle name="Followed Hyperlink" xfId="244" builtinId="9" hidden="1"/>
    <cellStyle name="Followed Hyperlink" xfId="246" builtinId="9" hidden="1"/>
    <cellStyle name="Followed Hyperlink" xfId="248" builtinId="9" hidden="1"/>
    <cellStyle name="Followed Hyperlink" xfId="250" builtinId="9" hidden="1"/>
    <cellStyle name="Followed Hyperlink" xfId="252" builtinId="9" hidden="1"/>
    <cellStyle name="Followed Hyperlink" xfId="254" builtinId="9" hidden="1"/>
    <cellStyle name="Followed Hyperlink" xfId="256" builtinId="9" hidden="1"/>
    <cellStyle name="Followed Hyperlink" xfId="258" builtinId="9" hidden="1"/>
    <cellStyle name="Followed Hyperlink" xfId="260" builtinId="9" hidden="1"/>
    <cellStyle name="Followed Hyperlink" xfId="262" builtinId="9" hidden="1"/>
    <cellStyle name="Followed Hyperlink" xfId="264" builtinId="9" hidden="1"/>
    <cellStyle name="Followed Hyperlink" xfId="266" builtinId="9" hidden="1"/>
    <cellStyle name="Followed Hyperlink" xfId="268" builtinId="9" hidden="1"/>
    <cellStyle name="Followed Hyperlink" xfId="270" builtinId="9" hidden="1"/>
    <cellStyle name="Followed Hyperlink" xfId="272" builtinId="9" hidden="1"/>
    <cellStyle name="Followed Hyperlink" xfId="274" builtinId="9" hidden="1"/>
    <cellStyle name="Followed Hyperlink" xfId="276" builtinId="9" hidden="1"/>
    <cellStyle name="Followed Hyperlink" xfId="278" builtinId="9" hidden="1"/>
    <cellStyle name="Followed Hyperlink" xfId="280" builtinId="9" hidden="1"/>
    <cellStyle name="Followed Hyperlink" xfId="282" builtinId="9" hidden="1"/>
    <cellStyle name="Followed Hyperlink" xfId="284" builtinId="9" hidden="1"/>
    <cellStyle name="Followed Hyperlink" xfId="286" builtinId="9" hidden="1"/>
    <cellStyle name="Followed Hyperlink" xfId="288" builtinId="9" hidden="1"/>
    <cellStyle name="Followed Hyperlink" xfId="290" builtinId="9" hidden="1"/>
    <cellStyle name="Followed Hyperlink" xfId="292" builtinId="9" hidden="1"/>
    <cellStyle name="Followed Hyperlink" xfId="294" builtinId="9" hidden="1"/>
    <cellStyle name="Followed Hyperlink" xfId="296" builtinId="9" hidden="1"/>
    <cellStyle name="Followed Hyperlink" xfId="298" builtinId="9" hidden="1"/>
    <cellStyle name="Followed Hyperlink" xfId="300" builtinId="9" hidden="1"/>
    <cellStyle name="Followed Hyperlink" xfId="302" builtinId="9" hidden="1"/>
    <cellStyle name="Followed Hyperlink" xfId="304" builtinId="9" hidden="1"/>
    <cellStyle name="Followed Hyperlink" xfId="306" builtinId="9" hidden="1"/>
    <cellStyle name="Followed Hyperlink" xfId="308" builtinId="9" hidden="1"/>
    <cellStyle name="Followed Hyperlink" xfId="310" builtinId="9" hidden="1"/>
    <cellStyle name="Followed Hyperlink" xfId="312" builtinId="9" hidden="1"/>
    <cellStyle name="Followed Hyperlink" xfId="314" builtinId="9" hidden="1"/>
    <cellStyle name="Followed Hyperlink" xfId="316" builtinId="9" hidden="1"/>
    <cellStyle name="Followed Hyperlink" xfId="318" builtinId="9" hidden="1"/>
    <cellStyle name="Followed Hyperlink" xfId="320" builtinId="9" hidden="1"/>
    <cellStyle name="Followed Hyperlink" xfId="322" builtinId="9" hidden="1"/>
    <cellStyle name="Followed Hyperlink" xfId="324" builtinId="9" hidden="1"/>
    <cellStyle name="Followed Hyperlink" xfId="326" builtinId="9" hidden="1"/>
    <cellStyle name="Followed Hyperlink" xfId="328" builtinId="9" hidden="1"/>
    <cellStyle name="Followed Hyperlink" xfId="330" builtinId="9" hidden="1"/>
    <cellStyle name="Followed Hyperlink" xfId="332" builtinId="9" hidden="1"/>
    <cellStyle name="Followed Hyperlink" xfId="334" builtinId="9" hidden="1"/>
    <cellStyle name="Followed Hyperlink" xfId="336" builtinId="9" hidden="1"/>
    <cellStyle name="Followed Hyperlink" xfId="338" builtinId="9" hidden="1"/>
    <cellStyle name="Followed Hyperlink" xfId="340" builtinId="9" hidden="1"/>
    <cellStyle name="Followed Hyperlink" xfId="342" builtinId="9" hidden="1"/>
    <cellStyle name="Followed Hyperlink" xfId="344" builtinId="9" hidden="1"/>
    <cellStyle name="Followed Hyperlink" xfId="346" builtinId="9" hidden="1"/>
    <cellStyle name="Followed Hyperlink" xfId="348" builtinId="9" hidden="1"/>
    <cellStyle name="Followed Hyperlink" xfId="350" builtinId="9" hidden="1"/>
    <cellStyle name="Followed Hyperlink" xfId="352" builtinId="9" hidden="1"/>
    <cellStyle name="Followed Hyperlink" xfId="354" builtinId="9" hidden="1"/>
    <cellStyle name="Followed Hyperlink" xfId="356" builtinId="9" hidden="1"/>
    <cellStyle name="Followed Hyperlink" xfId="358" builtinId="9" hidden="1"/>
    <cellStyle name="Followed Hyperlink" xfId="360" builtinId="9" hidden="1"/>
    <cellStyle name="Followed Hyperlink" xfId="362" builtinId="9" hidden="1"/>
    <cellStyle name="Followed Hyperlink" xfId="364" builtinId="9" hidden="1"/>
    <cellStyle name="Followed Hyperlink" xfId="366" builtinId="9" hidden="1"/>
    <cellStyle name="Followed Hyperlink" xfId="368" builtinId="9" hidden="1"/>
    <cellStyle name="Followed Hyperlink" xfId="370" builtinId="9" hidden="1"/>
    <cellStyle name="Followed Hyperlink" xfId="372" builtinId="9" hidden="1"/>
    <cellStyle name="Followed Hyperlink" xfId="374" builtinId="9" hidden="1"/>
    <cellStyle name="Followed Hyperlink" xfId="376" builtinId="9" hidden="1"/>
    <cellStyle name="Followed Hyperlink" xfId="378" builtinId="9" hidden="1"/>
    <cellStyle name="Followed Hyperlink" xfId="380" builtinId="9" hidden="1"/>
    <cellStyle name="Followed Hyperlink" xfId="382" builtinId="9" hidden="1"/>
    <cellStyle name="Followed Hyperlink" xfId="384" builtinId="9" hidden="1"/>
    <cellStyle name="Followed Hyperlink" xfId="386" builtinId="9" hidden="1"/>
    <cellStyle name="Followed Hyperlink" xfId="388" builtinId="9" hidden="1"/>
    <cellStyle name="Followed Hyperlink" xfId="390" builtinId="9" hidden="1"/>
    <cellStyle name="Followed Hyperlink" xfId="392" builtinId="9" hidden="1"/>
    <cellStyle name="Followed Hyperlink" xfId="394" builtinId="9" hidden="1"/>
    <cellStyle name="Followed Hyperlink" xfId="396" builtinId="9" hidden="1"/>
    <cellStyle name="Followed Hyperlink" xfId="398" builtinId="9" hidden="1"/>
    <cellStyle name="Followed Hyperlink" xfId="400" builtinId="9" hidden="1"/>
    <cellStyle name="Followed Hyperlink" xfId="402" builtinId="9" hidden="1"/>
    <cellStyle name="Followed Hyperlink" xfId="404" builtinId="9" hidden="1"/>
    <cellStyle name="Followed Hyperlink" xfId="406" builtinId="9" hidden="1"/>
    <cellStyle name="Followed Hyperlink" xfId="408" builtinId="9" hidden="1"/>
    <cellStyle name="Followed Hyperlink" xfId="410" builtinId="9" hidden="1"/>
    <cellStyle name="Followed Hyperlink" xfId="412" builtinId="9" hidden="1"/>
    <cellStyle name="Followed Hyperlink" xfId="414" builtinId="9" hidden="1"/>
    <cellStyle name="Followed Hyperlink" xfId="416" builtinId="9" hidden="1"/>
    <cellStyle name="Followed Hyperlink" xfId="418" builtinId="9" hidden="1"/>
    <cellStyle name="Followed Hyperlink" xfId="420" builtinId="9" hidden="1"/>
    <cellStyle name="Followed Hyperlink" xfId="422" builtinId="9" hidden="1"/>
    <cellStyle name="Followed Hyperlink" xfId="424" builtinId="9" hidden="1"/>
    <cellStyle name="Followed Hyperlink" xfId="426" builtinId="9" hidden="1"/>
    <cellStyle name="Followed Hyperlink" xfId="428" builtinId="9" hidden="1"/>
    <cellStyle name="Followed Hyperlink" xfId="430" builtinId="9" hidden="1"/>
    <cellStyle name="Followed Hyperlink" xfId="432" builtinId="9" hidden="1"/>
    <cellStyle name="Followed Hyperlink" xfId="434" builtinId="9" hidden="1"/>
    <cellStyle name="Followed Hyperlink" xfId="436" builtinId="9" hidden="1"/>
    <cellStyle name="Followed Hyperlink" xfId="438" builtinId="9" hidden="1"/>
    <cellStyle name="Followed Hyperlink" xfId="440" builtinId="9" hidden="1"/>
    <cellStyle name="Followed Hyperlink" xfId="442" builtinId="9" hidden="1"/>
    <cellStyle name="Followed Hyperlink" xfId="444" builtinId="9" hidden="1"/>
    <cellStyle name="Followed Hyperlink" xfId="446" builtinId="9" hidden="1"/>
    <cellStyle name="Followed Hyperlink" xfId="448" builtinId="9" hidden="1"/>
    <cellStyle name="Followed Hyperlink" xfId="450" builtinId="9" hidden="1"/>
    <cellStyle name="Followed Hyperlink" xfId="452" builtinId="9" hidden="1"/>
    <cellStyle name="Followed Hyperlink" xfId="454" builtinId="9" hidden="1"/>
    <cellStyle name="Followed Hyperlink" xfId="456" builtinId="9" hidden="1"/>
    <cellStyle name="Followed Hyperlink" xfId="458" builtinId="9" hidden="1"/>
    <cellStyle name="Followed Hyperlink" xfId="460" builtinId="9" hidden="1"/>
    <cellStyle name="Followed Hyperlink" xfId="462" builtinId="9" hidden="1"/>
    <cellStyle name="Followed Hyperlink" xfId="464" builtinId="9" hidden="1"/>
    <cellStyle name="Followed Hyperlink" xfId="466" builtinId="9" hidden="1"/>
    <cellStyle name="Followed Hyperlink" xfId="468" builtinId="9" hidden="1"/>
    <cellStyle name="Followed Hyperlink" xfId="470" builtinId="9" hidden="1"/>
    <cellStyle name="Followed Hyperlink" xfId="472" builtinId="9" hidden="1"/>
    <cellStyle name="Followed Hyperlink" xfId="474" builtinId="9" hidden="1"/>
    <cellStyle name="Followed Hyperlink" xfId="476" builtinId="9" hidden="1"/>
    <cellStyle name="Followed Hyperlink" xfId="478" builtinId="9" hidden="1"/>
    <cellStyle name="Followed Hyperlink" xfId="480" builtinId="9" hidden="1"/>
    <cellStyle name="Followed Hyperlink" xfId="482" builtinId="9" hidden="1"/>
    <cellStyle name="Followed Hyperlink" xfId="484" builtinId="9" hidden="1"/>
    <cellStyle name="Followed Hyperlink" xfId="486" builtinId="9" hidden="1"/>
    <cellStyle name="Followed Hyperlink" xfId="488" builtinId="9" hidden="1"/>
    <cellStyle name="Followed Hyperlink" xfId="490" builtinId="9" hidden="1"/>
    <cellStyle name="Followed Hyperlink" xfId="492" builtinId="9" hidden="1"/>
    <cellStyle name="Followed Hyperlink" xfId="494" builtinId="9" hidden="1"/>
    <cellStyle name="Followed Hyperlink" xfId="496" builtinId="9" hidden="1"/>
    <cellStyle name="Followed Hyperlink" xfId="498" builtinId="9" hidden="1"/>
    <cellStyle name="Followed Hyperlink" xfId="500" builtinId="9" hidden="1"/>
    <cellStyle name="Followed Hyperlink" xfId="502" builtinId="9" hidden="1"/>
    <cellStyle name="Followed Hyperlink" xfId="504" builtinId="9" hidden="1"/>
    <cellStyle name="Followed Hyperlink" xfId="506" builtinId="9" hidden="1"/>
    <cellStyle name="Followed Hyperlink" xfId="508" builtinId="9" hidden="1"/>
    <cellStyle name="Followed Hyperlink" xfId="510" builtinId="9" hidden="1"/>
    <cellStyle name="Followed Hyperlink" xfId="512" builtinId="9" hidden="1"/>
    <cellStyle name="Followed Hyperlink" xfId="514" builtinId="9" hidden="1"/>
    <cellStyle name="Followed Hyperlink" xfId="516" builtinId="9" hidden="1"/>
    <cellStyle name="Followed Hyperlink" xfId="518" builtinId="9" hidden="1"/>
    <cellStyle name="Followed Hyperlink" xfId="520" builtinId="9" hidden="1"/>
    <cellStyle name="Followed Hyperlink" xfId="522" builtinId="9" hidden="1"/>
    <cellStyle name="Followed Hyperlink" xfId="524" builtinId="9" hidden="1"/>
    <cellStyle name="Followed Hyperlink" xfId="526" builtinId="9" hidden="1"/>
    <cellStyle name="Followed Hyperlink" xfId="528" builtinId="9" hidden="1"/>
    <cellStyle name="Followed Hyperlink" xfId="530" builtinId="9" hidden="1"/>
    <cellStyle name="Followed Hyperlink" xfId="532" builtinId="9" hidden="1"/>
    <cellStyle name="Followed Hyperlink" xfId="534" builtinId="9" hidden="1"/>
    <cellStyle name="Followed Hyperlink" xfId="536" builtinId="9" hidden="1"/>
    <cellStyle name="Followed Hyperlink" xfId="538" builtinId="9" hidden="1"/>
    <cellStyle name="Followed Hyperlink" xfId="540" builtinId="9" hidden="1"/>
    <cellStyle name="Followed Hyperlink" xfId="542" builtinId="9" hidden="1"/>
    <cellStyle name="Followed Hyperlink" xfId="544" builtinId="9" hidden="1"/>
    <cellStyle name="Followed Hyperlink" xfId="546" builtinId="9" hidden="1"/>
    <cellStyle name="Followed Hyperlink" xfId="548" builtinId="9" hidden="1"/>
    <cellStyle name="Followed Hyperlink" xfId="550" builtinId="9" hidden="1"/>
    <cellStyle name="Followed Hyperlink" xfId="552" builtinId="9" hidden="1"/>
    <cellStyle name="Followed Hyperlink" xfId="554" builtinId="9" hidden="1"/>
    <cellStyle name="Followed Hyperlink" xfId="556" builtinId="9" hidden="1"/>
    <cellStyle name="Followed Hyperlink" xfId="558" builtinId="9" hidden="1"/>
    <cellStyle name="Followed Hyperlink" xfId="560" builtinId="9" hidden="1"/>
    <cellStyle name="Followed Hyperlink" xfId="562" builtinId="9" hidden="1"/>
    <cellStyle name="Followed Hyperlink" xfId="564" builtinId="9" hidden="1"/>
    <cellStyle name="Followed Hyperlink" xfId="566" builtinId="9" hidden="1"/>
    <cellStyle name="Followed Hyperlink" xfId="568" builtinId="9" hidden="1"/>
    <cellStyle name="Followed Hyperlink" xfId="570" builtinId="9" hidden="1"/>
    <cellStyle name="Followed Hyperlink" xfId="572" builtinId="9" hidden="1"/>
    <cellStyle name="Followed Hyperlink" xfId="574" builtinId="9" hidden="1"/>
    <cellStyle name="Followed Hyperlink" xfId="576" builtinId="9" hidden="1"/>
    <cellStyle name="Followed Hyperlink" xfId="578" builtinId="9" hidden="1"/>
    <cellStyle name="Followed Hyperlink" xfId="580" builtinId="9" hidden="1"/>
    <cellStyle name="Followed Hyperlink" xfId="582" builtinId="9" hidden="1"/>
    <cellStyle name="Followed Hyperlink" xfId="584" builtinId="9" hidden="1"/>
    <cellStyle name="Followed Hyperlink" xfId="586" builtinId="9" hidden="1"/>
    <cellStyle name="Followed Hyperlink" xfId="588" builtinId="9" hidden="1"/>
    <cellStyle name="Followed Hyperlink" xfId="590" builtinId="9" hidden="1"/>
    <cellStyle name="Followed Hyperlink" xfId="592"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Followed Hyperlink" xfId="648" builtinId="9" hidden="1"/>
    <cellStyle name="Followed Hyperlink" xfId="650" builtinId="9" hidden="1"/>
    <cellStyle name="Followed Hyperlink" xfId="652" builtinId="9" hidden="1"/>
    <cellStyle name="Followed Hyperlink" xfId="654" builtinId="9" hidden="1"/>
    <cellStyle name="Followed Hyperlink" xfId="656" builtinId="9" hidden="1"/>
    <cellStyle name="Followed Hyperlink" xfId="658" builtinId="9" hidden="1"/>
    <cellStyle name="Followed Hyperlink" xfId="660" builtinId="9" hidden="1"/>
    <cellStyle name="Followed Hyperlink" xfId="662" builtinId="9" hidden="1"/>
    <cellStyle name="Followed Hyperlink" xfId="664" builtinId="9" hidden="1"/>
    <cellStyle name="Followed Hyperlink" xfId="666" builtinId="9" hidden="1"/>
    <cellStyle name="Followed Hyperlink" xfId="668" builtinId="9" hidden="1"/>
    <cellStyle name="Followed Hyperlink" xfId="670" builtinId="9" hidden="1"/>
    <cellStyle name="Followed Hyperlink" xfId="672" builtinId="9" hidden="1"/>
    <cellStyle name="Followed Hyperlink" xfId="674" builtinId="9" hidden="1"/>
    <cellStyle name="Followed Hyperlink" xfId="676" builtinId="9" hidden="1"/>
    <cellStyle name="Followed Hyperlink" xfId="678" builtinId="9" hidden="1"/>
    <cellStyle name="Followed Hyperlink" xfId="680" builtinId="9" hidden="1"/>
    <cellStyle name="Followed Hyperlink" xfId="682" builtinId="9" hidden="1"/>
    <cellStyle name="Followed Hyperlink" xfId="684" builtinId="9" hidden="1"/>
    <cellStyle name="Followed Hyperlink" xfId="686" builtinId="9" hidden="1"/>
    <cellStyle name="Followed Hyperlink" xfId="688" builtinId="9" hidden="1"/>
    <cellStyle name="Followed Hyperlink" xfId="690" builtinId="9" hidden="1"/>
    <cellStyle name="Followed Hyperlink" xfId="692" builtinId="9" hidden="1"/>
    <cellStyle name="Followed Hyperlink" xfId="694" builtinId="9" hidden="1"/>
    <cellStyle name="Followed Hyperlink" xfId="696" builtinId="9" hidden="1"/>
    <cellStyle name="Followed Hyperlink" xfId="698" builtinId="9" hidden="1"/>
    <cellStyle name="Followed Hyperlink" xfId="700" builtinId="9" hidden="1"/>
    <cellStyle name="Followed Hyperlink" xfId="702" builtinId="9" hidden="1"/>
    <cellStyle name="Followed Hyperlink" xfId="704" builtinId="9" hidden="1"/>
    <cellStyle name="Followed Hyperlink" xfId="706" builtinId="9" hidden="1"/>
    <cellStyle name="Followed Hyperlink" xfId="708" builtinId="9" hidden="1"/>
    <cellStyle name="Followed Hyperlink" xfId="710" builtinId="9" hidden="1"/>
    <cellStyle name="Followed Hyperlink" xfId="712" builtinId="9" hidden="1"/>
    <cellStyle name="Followed Hyperlink" xfId="714" builtinId="9" hidden="1"/>
    <cellStyle name="Followed Hyperlink" xfId="716" builtinId="9" hidden="1"/>
    <cellStyle name="Followed Hyperlink" xfId="718" builtinId="9" hidden="1"/>
    <cellStyle name="Followed Hyperlink" xfId="720" builtinId="9" hidden="1"/>
    <cellStyle name="Followed Hyperlink" xfId="722" builtinId="9" hidden="1"/>
    <cellStyle name="Followed Hyperlink" xfId="725" builtinId="9" hidden="1"/>
    <cellStyle name="Followed Hyperlink" xfId="727" builtinId="9" hidden="1"/>
    <cellStyle name="Followed Hyperlink" xfId="729" builtinId="9" hidden="1"/>
    <cellStyle name="Followed Hyperlink" xfId="731" builtinId="9" hidden="1"/>
    <cellStyle name="Followed Hyperlink" xfId="733" builtinId="9" hidden="1"/>
    <cellStyle name="Followed Hyperlink" xfId="735" builtinId="9" hidden="1"/>
    <cellStyle name="Followed Hyperlink" xfId="737" builtinId="9" hidden="1"/>
    <cellStyle name="Followed Hyperlink" xfId="739" builtinId="9" hidden="1"/>
    <cellStyle name="Followed Hyperlink" xfId="741" builtinId="9" hidden="1"/>
    <cellStyle name="Followed Hyperlink" xfId="743" builtinId="9" hidden="1"/>
    <cellStyle name="Followed Hyperlink" xfId="745" builtinId="9" hidden="1"/>
    <cellStyle name="Followed Hyperlink" xfId="747" builtinId="9" hidden="1"/>
    <cellStyle name="Followed Hyperlink" xfId="749" builtinId="9" hidden="1"/>
    <cellStyle name="Followed Hyperlink" xfId="751" builtinId="9" hidden="1"/>
    <cellStyle name="Followed Hyperlink" xfId="753" builtinId="9" hidden="1"/>
    <cellStyle name="Followed Hyperlink" xfId="755" builtinId="9" hidden="1"/>
    <cellStyle name="Followed Hyperlink" xfId="757" builtinId="9" hidden="1"/>
    <cellStyle name="Followed Hyperlink" xfId="759" builtinId="9" hidden="1"/>
    <cellStyle name="Followed Hyperlink" xfId="761" builtinId="9" hidden="1"/>
    <cellStyle name="Followed Hyperlink" xfId="763" builtinId="9" hidden="1"/>
    <cellStyle name="Followed Hyperlink" xfId="765" builtinId="9" hidden="1"/>
    <cellStyle name="Followed Hyperlink" xfId="767" builtinId="9" hidden="1"/>
    <cellStyle name="Followed Hyperlink" xfId="769" builtinId="9" hidden="1"/>
    <cellStyle name="Followed Hyperlink" xfId="771" builtinId="9" hidden="1"/>
    <cellStyle name="Followed Hyperlink" xfId="773" builtinId="9" hidden="1"/>
    <cellStyle name="Followed Hyperlink" xfId="775" builtinId="9" hidden="1"/>
    <cellStyle name="Followed Hyperlink" xfId="777" builtinId="9" hidden="1"/>
    <cellStyle name="Followed Hyperlink" xfId="779" builtinId="9" hidden="1"/>
    <cellStyle name="Followed Hyperlink" xfId="781" builtinId="9" hidden="1"/>
    <cellStyle name="Followed Hyperlink" xfId="783" builtinId="9" hidden="1"/>
    <cellStyle name="Followed Hyperlink" xfId="785" builtinId="9" hidden="1"/>
    <cellStyle name="Followed Hyperlink" xfId="787" builtinId="9" hidden="1"/>
    <cellStyle name="Followed Hyperlink" xfId="789" builtinId="9" hidden="1"/>
    <cellStyle name="Followed Hyperlink" xfId="791" builtinId="9" hidden="1"/>
    <cellStyle name="Followed Hyperlink" xfId="793" builtinId="9" hidden="1"/>
    <cellStyle name="Followed Hyperlink" xfId="795" builtinId="9" hidden="1"/>
    <cellStyle name="Followed Hyperlink" xfId="797" builtinId="9" hidden="1"/>
    <cellStyle name="Followed Hyperlink" xfId="799" builtinId="9" hidden="1"/>
    <cellStyle name="Followed Hyperlink" xfId="801" builtinId="9" hidden="1"/>
    <cellStyle name="Followed Hyperlink" xfId="803" builtinId="9" hidden="1"/>
    <cellStyle name="Followed Hyperlink" xfId="805" builtinId="9" hidden="1"/>
    <cellStyle name="Followed Hyperlink" xfId="807" builtinId="9" hidden="1"/>
    <cellStyle name="Followed Hyperlink" xfId="809" builtinId="9" hidden="1"/>
    <cellStyle name="Followed Hyperlink" xfId="811" builtinId="9" hidden="1"/>
    <cellStyle name="Followed Hyperlink" xfId="813" builtinId="9" hidden="1"/>
    <cellStyle name="Followed Hyperlink" xfId="815" builtinId="9" hidden="1"/>
    <cellStyle name="Followed Hyperlink" xfId="817" builtinId="9" hidden="1"/>
    <cellStyle name="Followed Hyperlink" xfId="819" builtinId="9" hidden="1"/>
    <cellStyle name="Followed Hyperlink" xfId="821" builtinId="9" hidden="1"/>
    <cellStyle name="Followed Hyperlink" xfId="823" builtinId="9" hidden="1"/>
    <cellStyle name="Followed Hyperlink" xfId="825" builtinId="9" hidden="1"/>
    <cellStyle name="Followed Hyperlink" xfId="827" builtinId="9" hidden="1"/>
    <cellStyle name="Followed Hyperlink" xfId="829" builtinId="9" hidden="1"/>
    <cellStyle name="Followed Hyperlink" xfId="831" builtinId="9" hidden="1"/>
    <cellStyle name="Followed Hyperlink" xfId="833" builtinId="9" hidden="1"/>
    <cellStyle name="Followed Hyperlink" xfId="835" builtinId="9" hidden="1"/>
    <cellStyle name="Followed Hyperlink" xfId="837" builtinId="9" hidden="1"/>
    <cellStyle name="Followed Hyperlink" xfId="839" builtinId="9" hidden="1"/>
    <cellStyle name="Followed Hyperlink" xfId="841" builtinId="9" hidden="1"/>
    <cellStyle name="Followed Hyperlink" xfId="843" builtinId="9" hidden="1"/>
    <cellStyle name="Followed Hyperlink" xfId="845" builtinId="9" hidden="1"/>
    <cellStyle name="Followed Hyperlink" xfId="847" builtinId="9" hidden="1"/>
    <cellStyle name="Followed Hyperlink" xfId="849" builtinId="9" hidden="1"/>
    <cellStyle name="Followed Hyperlink" xfId="851" builtinId="9" hidden="1"/>
    <cellStyle name="Followed Hyperlink" xfId="853" builtinId="9" hidden="1"/>
    <cellStyle name="Followed Hyperlink" xfId="855" builtinId="9" hidden="1"/>
    <cellStyle name="Followed Hyperlink" xfId="857" builtinId="9" hidden="1"/>
    <cellStyle name="Followed Hyperlink" xfId="859" builtinId="9" hidden="1"/>
    <cellStyle name="Followed Hyperlink" xfId="861" builtinId="9" hidden="1"/>
    <cellStyle name="Followed Hyperlink" xfId="863" builtinId="9" hidden="1"/>
    <cellStyle name="Followed Hyperlink" xfId="865" builtinId="9" hidden="1"/>
    <cellStyle name="Followed Hyperlink" xfId="867" builtinId="9" hidden="1"/>
    <cellStyle name="Followed Hyperlink" xfId="869" builtinId="9" hidden="1"/>
    <cellStyle name="Followed Hyperlink" xfId="871" builtinId="9" hidden="1"/>
    <cellStyle name="Followed Hyperlink" xfId="873" builtinId="9" hidden="1"/>
    <cellStyle name="Followed Hyperlink" xfId="875" builtinId="9" hidden="1"/>
    <cellStyle name="Followed Hyperlink" xfId="877" builtinId="9" hidden="1"/>
    <cellStyle name="Followed Hyperlink" xfId="879" builtinId="9" hidden="1"/>
    <cellStyle name="Followed Hyperlink" xfId="881" builtinId="9" hidden="1"/>
    <cellStyle name="Followed Hyperlink" xfId="883" builtinId="9" hidden="1"/>
    <cellStyle name="Followed Hyperlink" xfId="885" builtinId="9" hidden="1"/>
    <cellStyle name="Followed Hyperlink" xfId="887" builtinId="9" hidden="1"/>
    <cellStyle name="Followed Hyperlink" xfId="889" builtinId="9" hidden="1"/>
    <cellStyle name="Followed Hyperlink" xfId="891" builtinId="9" hidden="1"/>
    <cellStyle name="Followed Hyperlink" xfId="893" builtinId="9" hidden="1"/>
    <cellStyle name="Followed Hyperlink" xfId="895" builtinId="9" hidden="1"/>
    <cellStyle name="Followed Hyperlink" xfId="897" builtinId="9" hidden="1"/>
    <cellStyle name="Followed Hyperlink" xfId="899" builtinId="9" hidden="1"/>
    <cellStyle name="Followed Hyperlink" xfId="901" builtinId="9" hidden="1"/>
    <cellStyle name="Followed Hyperlink" xfId="903" builtinId="9" hidden="1"/>
    <cellStyle name="Followed Hyperlink" xfId="905" builtinId="9" hidden="1"/>
    <cellStyle name="Followed Hyperlink" xfId="907" builtinId="9" hidden="1"/>
    <cellStyle name="Followed Hyperlink" xfId="909" builtinId="9" hidden="1"/>
    <cellStyle name="Followed Hyperlink" xfId="911" builtinId="9" hidden="1"/>
    <cellStyle name="Followed Hyperlink" xfId="913" builtinId="9" hidden="1"/>
    <cellStyle name="Followed Hyperlink" xfId="915" builtinId="9" hidden="1"/>
    <cellStyle name="Followed Hyperlink" xfId="917" builtinId="9" hidden="1"/>
    <cellStyle name="Followed Hyperlink" xfId="919" builtinId="9" hidden="1"/>
    <cellStyle name="Followed Hyperlink" xfId="921" builtinId="9" hidden="1"/>
    <cellStyle name="Followed Hyperlink" xfId="923" builtinId="9" hidden="1"/>
    <cellStyle name="Followed Hyperlink" xfId="925" builtinId="9" hidden="1"/>
    <cellStyle name="Followed Hyperlink" xfId="929" builtinId="9" hidden="1"/>
    <cellStyle name="Followed Hyperlink" xfId="931" builtinId="9" hidden="1"/>
    <cellStyle name="Followed Hyperlink" xfId="933" builtinId="9" hidden="1"/>
    <cellStyle name="Followed Hyperlink" xfId="939" builtinId="9" hidden="1"/>
    <cellStyle name="Followed Hyperlink" xfId="943" builtinId="9" hidden="1"/>
    <cellStyle name="Followed Hyperlink" xfId="945" builtinId="9" hidden="1"/>
    <cellStyle name="Followed Hyperlink" xfId="947" builtinId="9" hidden="1"/>
    <cellStyle name="Followed Hyperlink" xfId="949" builtinId="9" hidden="1"/>
    <cellStyle name="Followed Hyperlink" xfId="951" builtinId="9" hidden="1"/>
    <cellStyle name="Followed Hyperlink" xfId="953" builtinId="9" hidden="1"/>
    <cellStyle name="Followed Hyperlink" xfId="955" builtinId="9" hidden="1"/>
    <cellStyle name="Followed Hyperlink" xfId="957" builtinId="9" hidden="1"/>
    <cellStyle name="Followed Hyperlink" xfId="959" builtinId="9" hidden="1"/>
    <cellStyle name="Followed Hyperlink" xfId="961" builtinId="9" hidden="1"/>
    <cellStyle name="Followed Hyperlink" xfId="963" builtinId="9" hidden="1"/>
    <cellStyle name="Followed Hyperlink" xfId="965" builtinId="9" hidden="1"/>
    <cellStyle name="Followed Hyperlink" xfId="967" builtinId="9" hidden="1"/>
    <cellStyle name="Followed Hyperlink" xfId="969" builtinId="9" hidden="1"/>
    <cellStyle name="Followed Hyperlink" xfId="971" builtinId="9" hidden="1"/>
    <cellStyle name="Followed Hyperlink" xfId="973" builtinId="9" hidden="1"/>
    <cellStyle name="Followed Hyperlink" xfId="975" builtinId="9" hidden="1"/>
    <cellStyle name="Followed Hyperlink" xfId="977" builtinId="9" hidden="1"/>
    <cellStyle name="Followed Hyperlink" xfId="979" builtinId="9" hidden="1"/>
    <cellStyle name="Followed Hyperlink" xfId="981" builtinId="9" hidden="1"/>
    <cellStyle name="Followed Hyperlink" xfId="983" builtinId="9" hidden="1"/>
    <cellStyle name="Followed Hyperlink" xfId="985" builtinId="9" hidden="1"/>
    <cellStyle name="Followed Hyperlink" xfId="987" builtinId="9" hidden="1"/>
    <cellStyle name="Followed Hyperlink" xfId="989" builtinId="9" hidden="1"/>
    <cellStyle name="Followed Hyperlink" xfId="991" builtinId="9" hidden="1"/>
    <cellStyle name="Followed Hyperlink" xfId="993" builtinId="9" hidden="1"/>
    <cellStyle name="Followed Hyperlink" xfId="995" builtinId="9" hidden="1"/>
    <cellStyle name="Followed Hyperlink" xfId="997" builtinId="9" hidden="1"/>
    <cellStyle name="Followed Hyperlink" xfId="999" builtinId="9" hidden="1"/>
    <cellStyle name="Followed Hyperlink" xfId="1001" builtinId="9" hidden="1"/>
    <cellStyle name="Followed Hyperlink" xfId="1003" builtinId="9" hidden="1"/>
    <cellStyle name="Followed Hyperlink" xfId="1005" builtinId="9" hidden="1"/>
    <cellStyle name="Followed Hyperlink" xfId="1007" builtinId="9" hidden="1"/>
    <cellStyle name="Followed Hyperlink" xfId="1009" builtinId="9" hidden="1"/>
    <cellStyle name="Followed Hyperlink" xfId="1011" builtinId="9" hidden="1"/>
    <cellStyle name="Followed Hyperlink" xfId="1013" builtinId="9" hidden="1"/>
    <cellStyle name="Followed Hyperlink" xfId="1015" builtinId="9" hidden="1"/>
    <cellStyle name="Followed Hyperlink" xfId="1017" builtinId="9" hidden="1"/>
    <cellStyle name="Followed Hyperlink" xfId="1019" builtinId="9" hidden="1"/>
    <cellStyle name="Followed Hyperlink" xfId="1021" builtinId="9" hidden="1"/>
    <cellStyle name="Followed Hyperlink" xfId="1023" builtinId="9" hidden="1"/>
    <cellStyle name="Followed Hyperlink" xfId="1025" builtinId="9" hidden="1"/>
    <cellStyle name="Followed Hyperlink" xfId="1027" builtinId="9" hidden="1"/>
    <cellStyle name="Followed Hyperlink" xfId="1029" builtinId="9" hidden="1"/>
    <cellStyle name="Followed Hyperlink" xfId="1031" builtinId="9" hidden="1"/>
    <cellStyle name="Followed Hyperlink" xfId="1033" builtinId="9" hidden="1"/>
    <cellStyle name="Followed Hyperlink" xfId="1035" builtinId="9" hidden="1"/>
    <cellStyle name="Followed Hyperlink" xfId="1037" builtinId="9" hidden="1"/>
    <cellStyle name="Followed Hyperlink" xfId="1039" builtinId="9" hidden="1"/>
    <cellStyle name="Followed Hyperlink" xfId="1041" builtinId="9" hidden="1"/>
    <cellStyle name="Followed Hyperlink" xfId="1043" builtinId="9" hidden="1"/>
    <cellStyle name="Followed Hyperlink" xfId="1045" builtinId="9" hidden="1"/>
    <cellStyle name="Followed Hyperlink" xfId="1047" builtinId="9" hidden="1"/>
    <cellStyle name="Followed Hyperlink" xfId="1049" builtinId="9" hidden="1"/>
    <cellStyle name="Followed Hyperlink" xfId="1051" builtinId="9" hidden="1"/>
    <cellStyle name="Followed Hyperlink" xfId="1053" builtinId="9" hidden="1"/>
    <cellStyle name="Followed Hyperlink" xfId="1055" builtinId="9" hidden="1"/>
    <cellStyle name="Followed Hyperlink" xfId="1057" builtinId="9" hidden="1"/>
    <cellStyle name="Followed Hyperlink" xfId="1059" builtinId="9" hidden="1"/>
    <cellStyle name="Followed Hyperlink" xfId="1061" builtinId="9" hidden="1"/>
    <cellStyle name="Followed Hyperlink" xfId="1063" builtinId="9" hidden="1"/>
    <cellStyle name="Followed Hyperlink" xfId="1065" builtinId="9" hidden="1"/>
    <cellStyle name="Followed Hyperlink" xfId="1067" builtinId="9" hidden="1"/>
    <cellStyle name="Followed Hyperlink" xfId="1069" builtinId="9" hidden="1"/>
    <cellStyle name="Followed Hyperlink" xfId="1071" builtinId="9" hidden="1"/>
    <cellStyle name="Followed Hyperlink" xfId="1073" builtinId="9" hidden="1"/>
    <cellStyle name="Followed Hyperlink" xfId="1075" builtinId="9" hidden="1"/>
    <cellStyle name="Followed Hyperlink" xfId="1077" builtinId="9" hidden="1"/>
    <cellStyle name="Followed Hyperlink" xfId="1079" builtinId="9" hidden="1"/>
    <cellStyle name="Followed Hyperlink" xfId="1081" builtinId="9" hidden="1"/>
    <cellStyle name="Followed Hyperlink" xfId="1083" builtinId="9" hidden="1"/>
    <cellStyle name="Followed Hyperlink" xfId="1085" builtinId="9" hidden="1"/>
    <cellStyle name="Followed Hyperlink" xfId="1087" builtinId="9" hidden="1"/>
    <cellStyle name="Followed Hyperlink" xfId="1089" builtinId="9" hidden="1"/>
    <cellStyle name="Followed Hyperlink" xfId="1091" builtinId="9" hidden="1"/>
    <cellStyle name="Followed Hyperlink" xfId="1093" builtinId="9" hidden="1"/>
    <cellStyle name="Followed Hyperlink" xfId="1095" builtinId="9" hidden="1"/>
    <cellStyle name="Followed Hyperlink" xfId="1097" builtinId="9" hidden="1"/>
    <cellStyle name="Followed Hyperlink" xfId="1099" builtinId="9" hidden="1"/>
    <cellStyle name="Followed Hyperlink" xfId="1101" builtinId="9" hidden="1"/>
    <cellStyle name="Followed Hyperlink" xfId="1103" builtinId="9" hidden="1"/>
    <cellStyle name="Followed Hyperlink" xfId="1105" builtinId="9" hidden="1"/>
    <cellStyle name="Followed Hyperlink" xfId="1107" builtinId="9" hidden="1"/>
    <cellStyle name="Followed Hyperlink" xfId="1109" builtinId="9" hidden="1"/>
    <cellStyle name="Followed Hyperlink" xfId="1111" builtinId="9" hidden="1"/>
    <cellStyle name="Followed Hyperlink" xfId="1113" builtinId="9" hidden="1"/>
    <cellStyle name="Followed Hyperlink" xfId="1115" builtinId="9" hidden="1"/>
    <cellStyle name="Followed Hyperlink" xfId="1117" builtinId="9" hidden="1"/>
    <cellStyle name="Followed Hyperlink" xfId="1119" builtinId="9" hidden="1"/>
    <cellStyle name="Followed Hyperlink" xfId="1121" builtinId="9" hidden="1"/>
    <cellStyle name="Followed Hyperlink" xfId="1123" builtinId="9" hidden="1"/>
    <cellStyle name="Followed Hyperlink" xfId="1125" builtinId="9" hidden="1"/>
    <cellStyle name="Followed Hyperlink" xfId="1127" builtinId="9" hidden="1"/>
    <cellStyle name="Followed Hyperlink" xfId="1129" builtinId="9" hidden="1"/>
    <cellStyle name="Followed Hyperlink" xfId="1131" builtinId="9" hidden="1"/>
    <cellStyle name="Followed Hyperlink" xfId="1133" builtinId="9" hidden="1"/>
    <cellStyle name="Followed Hyperlink" xfId="1135" builtinId="9" hidden="1"/>
    <cellStyle name="Followed Hyperlink" xfId="1137" builtinId="9" hidden="1"/>
    <cellStyle name="Followed Hyperlink" xfId="1139" builtinId="9" hidden="1"/>
    <cellStyle name="Followed Hyperlink" xfId="1141" builtinId="9" hidden="1"/>
    <cellStyle name="Followed Hyperlink" xfId="1143" builtinId="9" hidden="1"/>
    <cellStyle name="Followed Hyperlink" xfId="1145" builtinId="9" hidden="1"/>
    <cellStyle name="Followed Hyperlink" xfId="1147" builtinId="9" hidden="1"/>
    <cellStyle name="Followed Hyperlink" xfId="1149" builtinId="9" hidden="1"/>
    <cellStyle name="Followed Hyperlink" xfId="1151" builtinId="9" hidden="1"/>
    <cellStyle name="Followed Hyperlink" xfId="1153" builtinId="9" hidden="1"/>
    <cellStyle name="Followed Hyperlink" xfId="1155" builtinId="9" hidden="1"/>
    <cellStyle name="Followed Hyperlink" xfId="1157" builtinId="9" hidden="1"/>
    <cellStyle name="Followed Hyperlink" xfId="1159" builtinId="9" hidden="1"/>
    <cellStyle name="Followed Hyperlink" xfId="1161" builtinId="9" hidden="1"/>
    <cellStyle name="Followed Hyperlink" xfId="1163" builtinId="9" hidden="1"/>
    <cellStyle name="Followed Hyperlink" xfId="1165" builtinId="9" hidden="1"/>
    <cellStyle name="Followed Hyperlink" xfId="1167" builtinId="9" hidden="1"/>
    <cellStyle name="Followed Hyperlink" xfId="1169" builtinId="9" hidden="1"/>
    <cellStyle name="Followed Hyperlink" xfId="1171" builtinId="9" hidden="1"/>
    <cellStyle name="Followed Hyperlink" xfId="1173" builtinId="9" hidden="1"/>
    <cellStyle name="Followed Hyperlink" xfId="1175" builtinId="9" hidden="1"/>
    <cellStyle name="Followed Hyperlink" xfId="1177" builtinId="9" hidden="1"/>
    <cellStyle name="Followed Hyperlink" xfId="1179" builtinId="9" hidden="1"/>
    <cellStyle name="Followed Hyperlink" xfId="1181" builtinId="9" hidden="1"/>
    <cellStyle name="Followed Hyperlink" xfId="1183" builtinId="9" hidden="1"/>
    <cellStyle name="Followed Hyperlink" xfId="1185" builtinId="9" hidden="1"/>
    <cellStyle name="Followed Hyperlink" xfId="1187" builtinId="9" hidden="1"/>
    <cellStyle name="Followed Hyperlink" xfId="1189" builtinId="9" hidden="1"/>
    <cellStyle name="Followed Hyperlink" xfId="1191" builtinId="9" hidden="1"/>
    <cellStyle name="Followed Hyperlink" xfId="1193" builtinId="9" hidden="1"/>
    <cellStyle name="Followed Hyperlink" xfId="1195" builtinId="9" hidden="1"/>
    <cellStyle name="Followed Hyperlink" xfId="1197" builtinId="9" hidden="1"/>
    <cellStyle name="Followed Hyperlink" xfId="1199" builtinId="9" hidden="1"/>
    <cellStyle name="Followed Hyperlink" xfId="1201" builtinId="9" hidden="1"/>
    <cellStyle name="Followed Hyperlink" xfId="1203" builtinId="9" hidden="1"/>
    <cellStyle name="Followed Hyperlink" xfId="1205" builtinId="9" hidden="1"/>
    <cellStyle name="Followed Hyperlink" xfId="1207" builtinId="9" hidden="1"/>
    <cellStyle name="Followed Hyperlink" xfId="1209" builtinId="9" hidden="1"/>
    <cellStyle name="Followed Hyperlink" xfId="1211" builtinId="9" hidden="1"/>
    <cellStyle name="Followed Hyperlink" xfId="1213" builtinId="9" hidden="1"/>
    <cellStyle name="Followed Hyperlink" xfId="1215" builtinId="9" hidden="1"/>
    <cellStyle name="Followed Hyperlink" xfId="1217" builtinId="9" hidden="1"/>
    <cellStyle name="Followed Hyperlink" xfId="1219" builtinId="9" hidden="1"/>
    <cellStyle name="Followed Hyperlink" xfId="1221" builtinId="9" hidden="1"/>
    <cellStyle name="Followed Hyperlink" xfId="1223" builtinId="9" hidden="1"/>
    <cellStyle name="Followed Hyperlink" xfId="1225" builtinId="9" hidden="1"/>
    <cellStyle name="Followed Hyperlink" xfId="1227" builtinId="9" hidden="1"/>
    <cellStyle name="Followed Hyperlink" xfId="1229" builtinId="9" hidden="1"/>
    <cellStyle name="Followed Hyperlink" xfId="1231" builtinId="9" hidden="1"/>
    <cellStyle name="Followed Hyperlink" xfId="1233" builtinId="9" hidden="1"/>
    <cellStyle name="Followed Hyperlink" xfId="1235" builtinId="9" hidden="1"/>
    <cellStyle name="Followed Hyperlink" xfId="1237" builtinId="9" hidden="1"/>
    <cellStyle name="Followed Hyperlink" xfId="1239" builtinId="9" hidden="1"/>
    <cellStyle name="Followed Hyperlink" xfId="1241" builtinId="9" hidden="1"/>
    <cellStyle name="Followed Hyperlink" xfId="1243" builtinId="9" hidden="1"/>
    <cellStyle name="Followed Hyperlink" xfId="1245" builtinId="9" hidden="1"/>
    <cellStyle name="Followed Hyperlink" xfId="1247" builtinId="9" hidden="1"/>
    <cellStyle name="Followed Hyperlink" xfId="1249" builtinId="9" hidden="1"/>
    <cellStyle name="Followed Hyperlink" xfId="1251" builtinId="9" hidden="1"/>
    <cellStyle name="Followed Hyperlink" xfId="1253" builtinId="9" hidden="1"/>
    <cellStyle name="Followed Hyperlink" xfId="1255" builtinId="9" hidden="1"/>
    <cellStyle name="Followed Hyperlink" xfId="1257" builtinId="9" hidden="1"/>
    <cellStyle name="Followed Hyperlink" xfId="1259" builtinId="9" hidden="1"/>
    <cellStyle name="Followed Hyperlink" xfId="1261" builtinId="9" hidden="1"/>
    <cellStyle name="Followed Hyperlink" xfId="1263" builtinId="9" hidden="1"/>
    <cellStyle name="Followed Hyperlink" xfId="1265" builtinId="9" hidden="1"/>
    <cellStyle name="Followed Hyperlink" xfId="1267" builtinId="9" hidden="1"/>
    <cellStyle name="Followed Hyperlink" xfId="1269" builtinId="9" hidden="1"/>
    <cellStyle name="Followed Hyperlink" xfId="1271" builtinId="9" hidden="1"/>
    <cellStyle name="Followed Hyperlink" xfId="1273" builtinId="9" hidden="1"/>
    <cellStyle name="Followed Hyperlink" xfId="1275" builtinId="9" hidden="1"/>
    <cellStyle name="Followed Hyperlink" xfId="1277" builtinId="9" hidden="1"/>
    <cellStyle name="Followed Hyperlink" xfId="1279" builtinId="9" hidden="1"/>
    <cellStyle name="Followed Hyperlink" xfId="1281" builtinId="9" hidden="1"/>
    <cellStyle name="Followed Hyperlink" xfId="1283" builtinId="9" hidden="1"/>
    <cellStyle name="Followed Hyperlink" xfId="1285" builtinId="9" hidden="1"/>
    <cellStyle name="Followed Hyperlink" xfId="1287" builtinId="9" hidden="1"/>
    <cellStyle name="Followed Hyperlink" xfId="1289" builtinId="9" hidden="1"/>
    <cellStyle name="Followed Hyperlink" xfId="1291" builtinId="9" hidden="1"/>
    <cellStyle name="Followed Hyperlink" xfId="1293" builtinId="9" hidden="1"/>
    <cellStyle name="Followed Hyperlink" xfId="1295" builtinId="9" hidden="1"/>
    <cellStyle name="Followed Hyperlink" xfId="1297" builtinId="9" hidden="1"/>
    <cellStyle name="Followed Hyperlink" xfId="1299" builtinId="9" hidden="1"/>
    <cellStyle name="Followed Hyperlink" xfId="1301" builtinId="9" hidden="1"/>
    <cellStyle name="Followed Hyperlink" xfId="1303" builtinId="9" hidden="1"/>
    <cellStyle name="Followed Hyperlink" xfId="1305" builtinId="9" hidden="1"/>
    <cellStyle name="Followed Hyperlink" xfId="1307" builtinId="9" hidden="1"/>
    <cellStyle name="Followed Hyperlink" xfId="1309" builtinId="9" hidden="1"/>
    <cellStyle name="Followed Hyperlink" xfId="1311" builtinId="9" hidden="1"/>
    <cellStyle name="Followed Hyperlink" xfId="1313" builtinId="9" hidden="1"/>
    <cellStyle name="Followed Hyperlink" xfId="1315" builtinId="9" hidden="1"/>
    <cellStyle name="Followed Hyperlink" xfId="1317" builtinId="9" hidden="1"/>
    <cellStyle name="Followed Hyperlink" xfId="1319" builtinId="9" hidden="1"/>
    <cellStyle name="Followed Hyperlink" xfId="1321" builtinId="9" hidden="1"/>
    <cellStyle name="Followed Hyperlink" xfId="1323" builtinId="9" hidden="1"/>
    <cellStyle name="Followed Hyperlink" xfId="1325" builtinId="9" hidden="1"/>
    <cellStyle name="Followed Hyperlink" xfId="1327" builtinId="9" hidden="1"/>
    <cellStyle name="Followed Hyperlink" xfId="1329" builtinId="9" hidden="1"/>
    <cellStyle name="Followed Hyperlink" xfId="1331" builtinId="9" hidden="1"/>
    <cellStyle name="Followed Hyperlink" xfId="1333" builtinId="9" hidden="1"/>
    <cellStyle name="Followed Hyperlink" xfId="1335" builtinId="9" hidden="1"/>
    <cellStyle name="Followed Hyperlink" xfId="1337" builtinId="9" hidden="1"/>
    <cellStyle name="Followed Hyperlink" xfId="1339" builtinId="9" hidden="1"/>
    <cellStyle name="Followed Hyperlink" xfId="1341" builtinId="9" hidden="1"/>
    <cellStyle name="Followed Hyperlink" xfId="1343" builtinId="9" hidden="1"/>
    <cellStyle name="Followed Hyperlink" xfId="1345" builtinId="9" hidden="1"/>
    <cellStyle name="Followed Hyperlink" xfId="1347" builtinId="9" hidden="1"/>
    <cellStyle name="Followed Hyperlink" xfId="1349" builtinId="9" hidden="1"/>
    <cellStyle name="Followed Hyperlink" xfId="1351" builtinId="9" hidden="1"/>
    <cellStyle name="Followed Hyperlink" xfId="1353" builtinId="9" hidden="1"/>
    <cellStyle name="Followed Hyperlink" xfId="1355" builtinId="9" hidden="1"/>
    <cellStyle name="Followed Hyperlink" xfId="1357" builtinId="9" hidden="1"/>
    <cellStyle name="Followed Hyperlink" xfId="1359" builtinId="9" hidden="1"/>
    <cellStyle name="Followed Hyperlink" xfId="1361" builtinId="9" hidden="1"/>
    <cellStyle name="Followed Hyperlink" xfId="1363" builtinId="9" hidden="1"/>
    <cellStyle name="Followed Hyperlink" xfId="1365" builtinId="9" hidden="1"/>
    <cellStyle name="Followed Hyperlink" xfId="1367" builtinId="9" hidden="1"/>
    <cellStyle name="Followed Hyperlink" xfId="1369" builtinId="9" hidden="1"/>
    <cellStyle name="Followed Hyperlink" xfId="1371" builtinId="9" hidden="1"/>
    <cellStyle name="Followed Hyperlink" xfId="1373" builtinId="9" hidden="1"/>
    <cellStyle name="Followed Hyperlink" xfId="1375" builtinId="9" hidden="1"/>
    <cellStyle name="Followed Hyperlink" xfId="1377" builtinId="9" hidden="1"/>
    <cellStyle name="Followed Hyperlink" xfId="1379" builtinId="9" hidden="1"/>
    <cellStyle name="Followed Hyperlink" xfId="1381" builtinId="9" hidden="1"/>
    <cellStyle name="Followed Hyperlink" xfId="1383" builtinId="9" hidden="1"/>
    <cellStyle name="Followed Hyperlink" xfId="1385" builtinId="9" hidden="1"/>
    <cellStyle name="Followed Hyperlink" xfId="1387" builtinId="9" hidden="1"/>
    <cellStyle name="Followed Hyperlink" xfId="1389" builtinId="9" hidden="1"/>
    <cellStyle name="Followed Hyperlink" xfId="1391" builtinId="9" hidden="1"/>
    <cellStyle name="Followed Hyperlink" xfId="1393" builtinId="9" hidden="1"/>
    <cellStyle name="Followed Hyperlink" xfId="1395" builtinId="9" hidden="1"/>
    <cellStyle name="Followed Hyperlink" xfId="1397" builtinId="9" hidden="1"/>
    <cellStyle name="Followed Hyperlink" xfId="1399" builtinId="9" hidden="1"/>
    <cellStyle name="Followed Hyperlink" xfId="1401" builtinId="9" hidden="1"/>
    <cellStyle name="Followed Hyperlink" xfId="1403" builtinId="9" hidden="1"/>
    <cellStyle name="Followed Hyperlink" xfId="1405" builtinId="9" hidden="1"/>
    <cellStyle name="Followed Hyperlink" xfId="1407" builtinId="9" hidden="1"/>
    <cellStyle name="Followed Hyperlink" xfId="1409" builtinId="9" hidden="1"/>
    <cellStyle name="Followed Hyperlink" xfId="1411" builtinId="9" hidden="1"/>
    <cellStyle name="Followed Hyperlink" xfId="1413" builtinId="9" hidden="1"/>
    <cellStyle name="Followed Hyperlink" xfId="1415" builtinId="9" hidden="1"/>
    <cellStyle name="Followed Hyperlink" xfId="1417" builtinId="9" hidden="1"/>
    <cellStyle name="Followed Hyperlink" xfId="1419" builtinId="9" hidden="1"/>
    <cellStyle name="Followed Hyperlink" xfId="1421" builtinId="9" hidden="1"/>
    <cellStyle name="Followed Hyperlink" xfId="1423" builtinId="9" hidden="1"/>
    <cellStyle name="Followed Hyperlink" xfId="1425" builtinId="9" hidden="1"/>
    <cellStyle name="Followed Hyperlink" xfId="1427" builtinId="9" hidden="1"/>
    <cellStyle name="Followed Hyperlink" xfId="1429" builtinId="9" hidden="1"/>
    <cellStyle name="Followed Hyperlink" xfId="1431" builtinId="9" hidden="1"/>
    <cellStyle name="Followed Hyperlink" xfId="1433" builtinId="9" hidden="1"/>
    <cellStyle name="Followed Hyperlink" xfId="1435" builtinId="9" hidden="1"/>
    <cellStyle name="Followed Hyperlink" xfId="1437" builtinId="9" hidden="1"/>
    <cellStyle name="Followed Hyperlink" xfId="1439" builtinId="9" hidden="1"/>
    <cellStyle name="Followed Hyperlink" xfId="1441" builtinId="9" hidden="1"/>
    <cellStyle name="Followed Hyperlink" xfId="1443" builtinId="9" hidden="1"/>
    <cellStyle name="Followed Hyperlink" xfId="1445" builtinId="9" hidden="1"/>
    <cellStyle name="Followed Hyperlink" xfId="1447" builtinId="9" hidden="1"/>
    <cellStyle name="Followed Hyperlink" xfId="1449" builtinId="9" hidden="1"/>
    <cellStyle name="Followed Hyperlink" xfId="1451" builtinId="9" hidden="1"/>
    <cellStyle name="Followed Hyperlink" xfId="1453" builtinId="9" hidden="1"/>
    <cellStyle name="Followed Hyperlink" xfId="1455" builtinId="9" hidden="1"/>
    <cellStyle name="Followed Hyperlink" xfId="1457" builtinId="9" hidden="1"/>
    <cellStyle name="Followed Hyperlink" xfId="1459" builtinId="9" hidden="1"/>
    <cellStyle name="Followed Hyperlink" xfId="1461" builtinId="9" hidden="1"/>
    <cellStyle name="Followed Hyperlink" xfId="1463" builtinId="9" hidden="1"/>
    <cellStyle name="Followed Hyperlink" xfId="1465" builtinId="9" hidden="1"/>
    <cellStyle name="Followed Hyperlink" xfId="1467" builtinId="9" hidden="1"/>
    <cellStyle name="Followed Hyperlink" xfId="1469" builtinId="9" hidden="1"/>
    <cellStyle name="Followed Hyperlink" xfId="1471" builtinId="9" hidden="1"/>
    <cellStyle name="Followed Hyperlink" xfId="1473" builtinId="9" hidden="1"/>
    <cellStyle name="Followed Hyperlink" xfId="1475" builtinId="9" hidden="1"/>
    <cellStyle name="Followed Hyperlink" xfId="1477" builtinId="9" hidden="1"/>
    <cellStyle name="Followed Hyperlink" xfId="1479" builtinId="9" hidden="1"/>
    <cellStyle name="Followed Hyperlink" xfId="1481" builtinId="9" hidden="1"/>
    <cellStyle name="Followed Hyperlink" xfId="1483" builtinId="9" hidden="1"/>
    <cellStyle name="Followed Hyperlink" xfId="1485" builtinId="9" hidden="1"/>
    <cellStyle name="Followed Hyperlink" xfId="1487" builtinId="9" hidden="1"/>
    <cellStyle name="Followed Hyperlink" xfId="1489" builtinId="9" hidden="1"/>
    <cellStyle name="Followed Hyperlink" xfId="1491" builtinId="9" hidden="1"/>
    <cellStyle name="Followed Hyperlink" xfId="1493" builtinId="9" hidden="1"/>
    <cellStyle name="Followed Hyperlink" xfId="1495" builtinId="9" hidden="1"/>
    <cellStyle name="Followed Hyperlink" xfId="1497" builtinId="9" hidden="1"/>
    <cellStyle name="Followed Hyperlink" xfId="1499" builtinId="9" hidden="1"/>
    <cellStyle name="Followed Hyperlink" xfId="1501" builtinId="9" hidden="1"/>
    <cellStyle name="Followed Hyperlink" xfId="1503" builtinId="9" hidden="1"/>
    <cellStyle name="Followed Hyperlink" xfId="1505" builtinId="9" hidden="1"/>
    <cellStyle name="Followed Hyperlink" xfId="1507" builtinId="9" hidden="1"/>
    <cellStyle name="Followed Hyperlink" xfId="1509" builtinId="9" hidden="1"/>
    <cellStyle name="Followed Hyperlink" xfId="1511" builtinId="9" hidden="1"/>
    <cellStyle name="Followed Hyperlink" xfId="1513" builtinId="9" hidden="1"/>
    <cellStyle name="Followed Hyperlink" xfId="1515" builtinId="9" hidden="1"/>
    <cellStyle name="Followed Hyperlink" xfId="1517" builtinId="9" hidden="1"/>
    <cellStyle name="Followed Hyperlink" xfId="1519" builtinId="9" hidden="1"/>
    <cellStyle name="Followed Hyperlink" xfId="1521" builtinId="9" hidden="1"/>
    <cellStyle name="Followed Hyperlink" xfId="1523" builtinId="9" hidden="1"/>
    <cellStyle name="Followed Hyperlink" xfId="1525" builtinId="9" hidden="1"/>
    <cellStyle name="Followed Hyperlink" xfId="1527" builtinId="9" hidden="1"/>
    <cellStyle name="Followed Hyperlink" xfId="1529" builtinId="9" hidden="1"/>
    <cellStyle name="Followed Hyperlink" xfId="1531" builtinId="9" hidden="1"/>
    <cellStyle name="Followed Hyperlink" xfId="1533" builtinId="9" hidden="1"/>
    <cellStyle name="Followed Hyperlink" xfId="1535" builtinId="9" hidden="1"/>
    <cellStyle name="Followed Hyperlink" xfId="1537" builtinId="9" hidden="1"/>
    <cellStyle name="Followed Hyperlink" xfId="1539" builtinId="9" hidden="1"/>
    <cellStyle name="Followed Hyperlink" xfId="1541" builtinId="9" hidden="1"/>
    <cellStyle name="Followed Hyperlink" xfId="1543" builtinId="9" hidden="1"/>
    <cellStyle name="Followed Hyperlink" xfId="1545" builtinId="9" hidden="1"/>
    <cellStyle name="Followed Hyperlink" xfId="1547" builtinId="9" hidden="1"/>
    <cellStyle name="Followed Hyperlink" xfId="1549" builtinId="9" hidden="1"/>
    <cellStyle name="Followed Hyperlink" xfId="1551" builtinId="9" hidden="1"/>
    <cellStyle name="Followed Hyperlink" xfId="1553" builtinId="9" hidden="1"/>
    <cellStyle name="Followed Hyperlink" xfId="1555" builtinId="9" hidden="1"/>
    <cellStyle name="Followed Hyperlink" xfId="1557" builtinId="9" hidden="1"/>
    <cellStyle name="Followed Hyperlink" xfId="1559" builtinId="9" hidden="1"/>
    <cellStyle name="Followed Hyperlink" xfId="1561" builtinId="9" hidden="1"/>
    <cellStyle name="Followed Hyperlink" xfId="1563" builtinId="9" hidden="1"/>
    <cellStyle name="Followed Hyperlink" xfId="1565" builtinId="9" hidden="1"/>
    <cellStyle name="Followed Hyperlink" xfId="1567" builtinId="9" hidden="1"/>
    <cellStyle name="Followed Hyperlink" xfId="1569" builtinId="9" hidden="1"/>
    <cellStyle name="Followed Hyperlink" xfId="1571" builtinId="9" hidden="1"/>
    <cellStyle name="Followed Hyperlink" xfId="1573" builtinId="9" hidden="1"/>
    <cellStyle name="Followed Hyperlink" xfId="1575" builtinId="9" hidden="1"/>
    <cellStyle name="Followed Hyperlink" xfId="1577" builtinId="9" hidden="1"/>
    <cellStyle name="Followed Hyperlink" xfId="1579" builtinId="9" hidden="1"/>
    <cellStyle name="Followed Hyperlink" xfId="1581" builtinId="9" hidden="1"/>
    <cellStyle name="Followed Hyperlink" xfId="1583" builtinId="9" hidden="1"/>
    <cellStyle name="Followed Hyperlink" xfId="1585" builtinId="9" hidden="1"/>
    <cellStyle name="Followed Hyperlink" xfId="1587" builtinId="9" hidden="1"/>
    <cellStyle name="Followed Hyperlink" xfId="1589" builtinId="9" hidden="1"/>
    <cellStyle name="Followed Hyperlink" xfId="1591" builtinId="9" hidden="1"/>
    <cellStyle name="Followed Hyperlink" xfId="1593" builtinId="9" hidden="1"/>
    <cellStyle name="Followed Hyperlink" xfId="1595" builtinId="9" hidden="1"/>
    <cellStyle name="Followed Hyperlink" xfId="1597" builtinId="9" hidden="1"/>
    <cellStyle name="Followed Hyperlink" xfId="1599" builtinId="9" hidden="1"/>
    <cellStyle name="Followed Hyperlink" xfId="1601" builtinId="9" hidden="1"/>
    <cellStyle name="Followed Hyperlink" xfId="1603" builtinId="9" hidden="1"/>
    <cellStyle name="Followed Hyperlink" xfId="1605" builtinId="9" hidden="1"/>
    <cellStyle name="Followed Hyperlink" xfId="1607" builtinId="9" hidden="1"/>
    <cellStyle name="Followed Hyperlink" xfId="1609" builtinId="9" hidden="1"/>
    <cellStyle name="Followed Hyperlink" xfId="1611" builtinId="9" hidden="1"/>
    <cellStyle name="Followed Hyperlink" xfId="1613" builtinId="9" hidden="1"/>
    <cellStyle name="Followed Hyperlink" xfId="1615" builtinId="9" hidden="1"/>
    <cellStyle name="Followed Hyperlink" xfId="1617" builtinId="9" hidden="1"/>
    <cellStyle name="Followed Hyperlink" xfId="1619" builtinId="9" hidden="1"/>
    <cellStyle name="Followed Hyperlink" xfId="1621" builtinId="9" hidden="1"/>
    <cellStyle name="Followed Hyperlink" xfId="1623" builtinId="9" hidden="1"/>
    <cellStyle name="Followed Hyperlink" xfId="1625" builtinId="9" hidden="1"/>
    <cellStyle name="Followed Hyperlink" xfId="1627" builtinId="9" hidden="1"/>
    <cellStyle name="Followed Hyperlink" xfId="1629" builtinId="9" hidden="1"/>
    <cellStyle name="Followed Hyperlink" xfId="1631" builtinId="9" hidden="1"/>
    <cellStyle name="Followed Hyperlink" xfId="1633" builtinId="9" hidden="1"/>
    <cellStyle name="Followed Hyperlink" xfId="1635" builtinId="9" hidden="1"/>
    <cellStyle name="Followed Hyperlink" xfId="1637" builtinId="9" hidden="1"/>
    <cellStyle name="Followed Hyperlink" xfId="1639" builtinId="9" hidden="1"/>
    <cellStyle name="Followed Hyperlink" xfId="1641" builtinId="9" hidden="1"/>
    <cellStyle name="Followed Hyperlink" xfId="1643" builtinId="9" hidden="1"/>
    <cellStyle name="Followed Hyperlink" xfId="1645" builtinId="9" hidden="1"/>
    <cellStyle name="Followed Hyperlink" xfId="1647" builtinId="9" hidden="1"/>
    <cellStyle name="Followed Hyperlink" xfId="1649" builtinId="9" hidden="1"/>
    <cellStyle name="Followed Hyperlink" xfId="1651" builtinId="9" hidden="1"/>
    <cellStyle name="Followed Hyperlink" xfId="1653" builtinId="9" hidden="1"/>
    <cellStyle name="Followed Hyperlink" xfId="1655" builtinId="9" hidden="1"/>
    <cellStyle name="Followed Hyperlink" xfId="1657" builtinId="9" hidden="1"/>
    <cellStyle name="Followed Hyperlink" xfId="1659" builtinId="9" hidden="1"/>
    <cellStyle name="Followed Hyperlink" xfId="1661" builtinId="9" hidden="1"/>
    <cellStyle name="Followed Hyperlink" xfId="1663" builtinId="9" hidden="1"/>
    <cellStyle name="Followed Hyperlink" xfId="1665" builtinId="9" hidden="1"/>
    <cellStyle name="Followed Hyperlink" xfId="1667" builtinId="9" hidden="1"/>
    <cellStyle name="Followed Hyperlink" xfId="1669" builtinId="9" hidden="1"/>
    <cellStyle name="Followed Hyperlink" xfId="1671" builtinId="9" hidden="1"/>
    <cellStyle name="Followed Hyperlink" xfId="1673" builtinId="9" hidden="1"/>
    <cellStyle name="Followed Hyperlink" xfId="1675" builtinId="9" hidden="1"/>
    <cellStyle name="Followed Hyperlink" xfId="1677" builtinId="9" hidden="1"/>
    <cellStyle name="Followed Hyperlink" xfId="1679" builtinId="9" hidden="1"/>
    <cellStyle name="Followed Hyperlink" xfId="1681" builtinId="9" hidden="1"/>
    <cellStyle name="Followed Hyperlink" xfId="1683" builtinId="9" hidden="1"/>
    <cellStyle name="Followed Hyperlink" xfId="1685" builtinId="9" hidden="1"/>
    <cellStyle name="Followed Hyperlink" xfId="1687" builtinId="9" hidden="1"/>
    <cellStyle name="Followed Hyperlink" xfId="1689" builtinId="9" hidden="1"/>
    <cellStyle name="Followed Hyperlink" xfId="1691" builtinId="9" hidden="1"/>
    <cellStyle name="Followed Hyperlink" xfId="1693" builtinId="9" hidden="1"/>
    <cellStyle name="Followed Hyperlink" xfId="1695" builtinId="9" hidden="1"/>
    <cellStyle name="Followed Hyperlink" xfId="1697" builtinId="9" hidden="1"/>
    <cellStyle name="Followed Hyperlink" xfId="1699" builtinId="9" hidden="1"/>
    <cellStyle name="Followed Hyperlink" xfId="1701" builtinId="9" hidden="1"/>
    <cellStyle name="Followed Hyperlink" xfId="1703" builtinId="9" hidden="1"/>
    <cellStyle name="Followed Hyperlink" xfId="1705" builtinId="9" hidden="1"/>
    <cellStyle name="Followed Hyperlink" xfId="1707" builtinId="9" hidden="1"/>
    <cellStyle name="Followed Hyperlink" xfId="1709" builtinId="9" hidden="1"/>
    <cellStyle name="Followed Hyperlink" xfId="1711" builtinId="9" hidden="1"/>
    <cellStyle name="Followed Hyperlink" xfId="1713" builtinId="9" hidden="1"/>
    <cellStyle name="Followed Hyperlink" xfId="1715" builtinId="9" hidden="1"/>
    <cellStyle name="Followed Hyperlink" xfId="1717" builtinId="9" hidden="1"/>
    <cellStyle name="Followed Hyperlink" xfId="1719" builtinId="9" hidden="1"/>
    <cellStyle name="Followed Hyperlink" xfId="1721" builtinId="9" hidden="1"/>
    <cellStyle name="Followed Hyperlink" xfId="1723" builtinId="9" hidden="1"/>
    <cellStyle name="Followed Hyperlink" xfId="1725" builtinId="9" hidden="1"/>
    <cellStyle name="Followed Hyperlink" xfId="1727" builtinId="9" hidden="1"/>
    <cellStyle name="Followed Hyperlink" xfId="1729" builtinId="9" hidden="1"/>
    <cellStyle name="Followed Hyperlink" xfId="1731" builtinId="9" hidden="1"/>
    <cellStyle name="Followed Hyperlink" xfId="1733" builtinId="9" hidden="1"/>
    <cellStyle name="Followed Hyperlink" xfId="1735" builtinId="9" hidden="1"/>
    <cellStyle name="Followed Hyperlink" xfId="1737" builtinId="9" hidden="1"/>
    <cellStyle name="Followed Hyperlink" xfId="1739" builtinId="9" hidden="1"/>
    <cellStyle name="Followed Hyperlink" xfId="1741" builtinId="9" hidden="1"/>
    <cellStyle name="Followed Hyperlink" xfId="1743" builtinId="9" hidden="1"/>
    <cellStyle name="Followed Hyperlink" xfId="1745" builtinId="9" hidden="1"/>
    <cellStyle name="Followed Hyperlink" xfId="1747" builtinId="9" hidden="1"/>
    <cellStyle name="Followed Hyperlink" xfId="1749" builtinId="9" hidden="1"/>
    <cellStyle name="Followed Hyperlink" xfId="1751" builtinId="9" hidden="1"/>
    <cellStyle name="Followed Hyperlink" xfId="1753" builtinId="9" hidden="1"/>
    <cellStyle name="Followed Hyperlink" xfId="1755" builtinId="9" hidden="1"/>
    <cellStyle name="Followed Hyperlink" xfId="1757" builtinId="9" hidden="1"/>
    <cellStyle name="Followed Hyperlink" xfId="1759" builtinId="9" hidden="1"/>
    <cellStyle name="Followed Hyperlink" xfId="1761" builtinId="9" hidden="1"/>
    <cellStyle name="Followed Hyperlink" xfId="1763" builtinId="9" hidden="1"/>
    <cellStyle name="Followed Hyperlink" xfId="1765" builtinId="9" hidden="1"/>
    <cellStyle name="Followed Hyperlink" xfId="1767" builtinId="9" hidden="1"/>
    <cellStyle name="Followed Hyperlink" xfId="1769" builtinId="9" hidden="1"/>
    <cellStyle name="Followed Hyperlink" xfId="1771" builtinId="9" hidden="1"/>
    <cellStyle name="Followed Hyperlink" xfId="1773" builtinId="9" hidden="1"/>
    <cellStyle name="Followed Hyperlink" xfId="1775" builtinId="9" hidden="1"/>
    <cellStyle name="Followed Hyperlink" xfId="1777" builtinId="9" hidden="1"/>
    <cellStyle name="Followed Hyperlink" xfId="1779" builtinId="9" hidden="1"/>
    <cellStyle name="Followed Hyperlink" xfId="1781" builtinId="9" hidden="1"/>
    <cellStyle name="Followed Hyperlink" xfId="1783" builtinId="9" hidden="1"/>
    <cellStyle name="Followed Hyperlink" xfId="1785" builtinId="9" hidden="1"/>
    <cellStyle name="Followed Hyperlink" xfId="1787" builtinId="9" hidden="1"/>
    <cellStyle name="Followed Hyperlink" xfId="1789" builtinId="9" hidden="1"/>
    <cellStyle name="Followed Hyperlink" xfId="1791" builtinId="9" hidden="1"/>
    <cellStyle name="Followed Hyperlink" xfId="1793" builtinId="9" hidden="1"/>
    <cellStyle name="Followed Hyperlink" xfId="1795" builtinId="9" hidden="1"/>
    <cellStyle name="Followed Hyperlink" xfId="1797" builtinId="9" hidden="1"/>
    <cellStyle name="Followed Hyperlink" xfId="1799" builtinId="9" hidden="1"/>
    <cellStyle name="Followed Hyperlink" xfId="1801" builtinId="9" hidden="1"/>
    <cellStyle name="Followed Hyperlink" xfId="1803" builtinId="9" hidden="1"/>
    <cellStyle name="Followed Hyperlink" xfId="1805" builtinId="9" hidden="1"/>
    <cellStyle name="Followed Hyperlink" xfId="1807" builtinId="9" hidden="1"/>
    <cellStyle name="Followed Hyperlink" xfId="1809" builtinId="9" hidden="1"/>
    <cellStyle name="Followed Hyperlink" xfId="1811" builtinId="9" hidden="1"/>
    <cellStyle name="Followed Hyperlink" xfId="1813" builtinId="9" hidden="1"/>
    <cellStyle name="Followed Hyperlink" xfId="1815" builtinId="9" hidden="1"/>
    <cellStyle name="Followed Hyperlink" xfId="1817" builtinId="9" hidden="1"/>
    <cellStyle name="Followed Hyperlink" xfId="1819" builtinId="9" hidden="1"/>
    <cellStyle name="Followed Hyperlink" xfId="1821" builtinId="9" hidden="1"/>
    <cellStyle name="Followed Hyperlink" xfId="1823" builtinId="9" hidden="1"/>
    <cellStyle name="Followed Hyperlink" xfId="1825" builtinId="9" hidden="1"/>
    <cellStyle name="Followed Hyperlink" xfId="1827" builtinId="9" hidden="1"/>
    <cellStyle name="Followed Hyperlink" xfId="1829" builtinId="9" hidden="1"/>
    <cellStyle name="Followed Hyperlink" xfId="1831" builtinId="9" hidden="1"/>
    <cellStyle name="Followed Hyperlink" xfId="1833" builtinId="9" hidden="1"/>
    <cellStyle name="Followed Hyperlink" xfId="1835" builtinId="9" hidden="1"/>
    <cellStyle name="Followed Hyperlink" xfId="1837" builtinId="9" hidden="1"/>
    <cellStyle name="Followed Hyperlink" xfId="1839" builtinId="9" hidden="1"/>
    <cellStyle name="Followed Hyperlink" xfId="1841" builtinId="9" hidden="1"/>
    <cellStyle name="Followed Hyperlink" xfId="1843" builtinId="9" hidden="1"/>
    <cellStyle name="Followed Hyperlink" xfId="1845" builtinId="9" hidden="1"/>
    <cellStyle name="Followed Hyperlink" xfId="1847" builtinId="9" hidden="1"/>
    <cellStyle name="Followed Hyperlink" xfId="1849" builtinId="9" hidden="1"/>
    <cellStyle name="Followed Hyperlink" xfId="1851" builtinId="9" hidden="1"/>
    <cellStyle name="Followed Hyperlink" xfId="1853" builtinId="9" hidden="1"/>
    <cellStyle name="Followed Hyperlink" xfId="1855" builtinId="9" hidden="1"/>
    <cellStyle name="Followed Hyperlink" xfId="1857" builtinId="9" hidden="1"/>
    <cellStyle name="Followed Hyperlink" xfId="1859" builtinId="9" hidden="1"/>
    <cellStyle name="Followed Hyperlink" xfId="1861" builtinId="9" hidden="1"/>
    <cellStyle name="Followed Hyperlink" xfId="1863" builtinId="9" hidden="1"/>
    <cellStyle name="Followed Hyperlink" xfId="1865" builtinId="9" hidden="1"/>
    <cellStyle name="Followed Hyperlink" xfId="1867" builtinId="9" hidden="1"/>
    <cellStyle name="Followed Hyperlink" xfId="1869" builtinId="9" hidden="1"/>
    <cellStyle name="Followed Hyperlink" xfId="1871" builtinId="9" hidden="1"/>
    <cellStyle name="Followed Hyperlink" xfId="1873" builtinId="9" hidden="1"/>
    <cellStyle name="Followed Hyperlink" xfId="1875" builtinId="9" hidden="1"/>
    <cellStyle name="Followed Hyperlink" xfId="1877" builtinId="9" hidden="1"/>
    <cellStyle name="Followed Hyperlink" xfId="1879" builtinId="9" hidden="1"/>
    <cellStyle name="Followed Hyperlink" xfId="1881" builtinId="9" hidden="1"/>
    <cellStyle name="Followed Hyperlink" xfId="1883" builtinId="9" hidden="1"/>
    <cellStyle name="Followed Hyperlink" xfId="1885" builtinId="9" hidden="1"/>
    <cellStyle name="Followed Hyperlink" xfId="1887" builtinId="9" hidden="1"/>
    <cellStyle name="Followed Hyperlink" xfId="1889" builtinId="9" hidden="1"/>
    <cellStyle name="Followed Hyperlink" xfId="1891" builtinId="9" hidden="1"/>
    <cellStyle name="Followed Hyperlink" xfId="1893" builtinId="9" hidden="1"/>
    <cellStyle name="Followed Hyperlink" xfId="1895" builtinId="9" hidden="1"/>
    <cellStyle name="Followed Hyperlink" xfId="1897" builtinId="9" hidden="1"/>
    <cellStyle name="Followed Hyperlink" xfId="1899" builtinId="9" hidden="1"/>
    <cellStyle name="Followed Hyperlink" xfId="1901" builtinId="9" hidden="1"/>
    <cellStyle name="Followed Hyperlink" xfId="1903" builtinId="9" hidden="1"/>
    <cellStyle name="Followed Hyperlink" xfId="1905" builtinId="9" hidden="1"/>
    <cellStyle name="Followed Hyperlink" xfId="1907" builtinId="9" hidden="1"/>
    <cellStyle name="Followed Hyperlink" xfId="1909" builtinId="9" hidden="1"/>
    <cellStyle name="Followed Hyperlink" xfId="1911" builtinId="9" hidden="1"/>
    <cellStyle name="Followed Hyperlink" xfId="1913" builtinId="9" hidden="1"/>
    <cellStyle name="Followed Hyperlink" xfId="1915" builtinId="9" hidden="1"/>
    <cellStyle name="Followed Hyperlink" xfId="1917" builtinId="9" hidden="1"/>
    <cellStyle name="Followed Hyperlink" xfId="1919" builtinId="9" hidden="1"/>
    <cellStyle name="Followed Hyperlink" xfId="1921" builtinId="9" hidden="1"/>
    <cellStyle name="Followed Hyperlink" xfId="1923" builtinId="9" hidden="1"/>
    <cellStyle name="Followed Hyperlink" xfId="1925" builtinId="9" hidden="1"/>
    <cellStyle name="Followed Hyperlink" xfId="1927" builtinId="9" hidden="1"/>
    <cellStyle name="Followed Hyperlink" xfId="1929" builtinId="9" hidden="1"/>
    <cellStyle name="Followed Hyperlink" xfId="1931" builtinId="9" hidden="1"/>
    <cellStyle name="Followed Hyperlink" xfId="1933" builtinId="9" hidden="1"/>
    <cellStyle name="Followed Hyperlink" xfId="1935" builtinId="9" hidden="1"/>
    <cellStyle name="Followed Hyperlink" xfId="1937" builtinId="9" hidden="1"/>
    <cellStyle name="Followed Hyperlink" xfId="1939" builtinId="9" hidden="1"/>
    <cellStyle name="Followed Hyperlink" xfId="1941" builtinId="9" hidden="1"/>
    <cellStyle name="Followed Hyperlink" xfId="1943" builtinId="9" hidden="1"/>
    <cellStyle name="Followed Hyperlink" xfId="1945" builtinId="9" hidden="1"/>
    <cellStyle name="Followed Hyperlink" xfId="1947" builtinId="9" hidden="1"/>
    <cellStyle name="Followed Hyperlink" xfId="1949" builtinId="9" hidden="1"/>
    <cellStyle name="Followed Hyperlink" xfId="1951" builtinId="9" hidden="1"/>
    <cellStyle name="Followed Hyperlink" xfId="1953" builtinId="9" hidden="1"/>
    <cellStyle name="Followed Hyperlink" xfId="1955" builtinId="9" hidden="1"/>
    <cellStyle name="Followed Hyperlink" xfId="1957" builtinId="9" hidden="1"/>
    <cellStyle name="Followed Hyperlink" xfId="1959" builtinId="9" hidden="1"/>
    <cellStyle name="Followed Hyperlink" xfId="1961" builtinId="9" hidden="1"/>
    <cellStyle name="Followed Hyperlink" xfId="1963" builtinId="9" hidden="1"/>
    <cellStyle name="Followed Hyperlink" xfId="1965" builtinId="9" hidden="1"/>
    <cellStyle name="Followed Hyperlink" xfId="1967" builtinId="9" hidden="1"/>
    <cellStyle name="Followed Hyperlink" xfId="1969" builtinId="9" hidden="1"/>
    <cellStyle name="Followed Hyperlink" xfId="1971" builtinId="9" hidden="1"/>
    <cellStyle name="Followed Hyperlink" xfId="1973" builtinId="9" hidden="1"/>
    <cellStyle name="Followed Hyperlink" xfId="1975" builtinId="9" hidden="1"/>
    <cellStyle name="Followed Hyperlink" xfId="1977" builtinId="9" hidden="1"/>
    <cellStyle name="Followed Hyperlink" xfId="1979" builtinId="9" hidden="1"/>
    <cellStyle name="Followed Hyperlink" xfId="1981" builtinId="9" hidden="1"/>
    <cellStyle name="Followed Hyperlink" xfId="1983" builtinId="9" hidden="1"/>
    <cellStyle name="Followed Hyperlink" xfId="1985" builtinId="9" hidden="1"/>
    <cellStyle name="Followed Hyperlink" xfId="1987" builtinId="9" hidden="1"/>
    <cellStyle name="Followed Hyperlink" xfId="1989" builtinId="9" hidden="1"/>
    <cellStyle name="Followed Hyperlink" xfId="1991" builtinId="9" hidden="1"/>
    <cellStyle name="Followed Hyperlink" xfId="1993" builtinId="9" hidden="1"/>
    <cellStyle name="Followed Hyperlink" xfId="1995" builtinId="9" hidden="1"/>
    <cellStyle name="Followed Hyperlink" xfId="1997" builtinId="9" hidden="1"/>
    <cellStyle name="Followed Hyperlink" xfId="1999" builtinId="9" hidden="1"/>
    <cellStyle name="Followed Hyperlink" xfId="2001" builtinId="9" hidden="1"/>
    <cellStyle name="Followed Hyperlink" xfId="2003" builtinId="9" hidden="1"/>
    <cellStyle name="Followed Hyperlink" xfId="2005" builtinId="9" hidden="1"/>
    <cellStyle name="Followed Hyperlink" xfId="2007" builtinId="9" hidden="1"/>
    <cellStyle name="Followed Hyperlink" xfId="2009" builtinId="9" hidden="1"/>
    <cellStyle name="Followed Hyperlink" xfId="2011" builtinId="9" hidden="1"/>
    <cellStyle name="Followed Hyperlink" xfId="2013" builtinId="9" hidden="1"/>
    <cellStyle name="Followed Hyperlink" xfId="2015" builtinId="9" hidden="1"/>
    <cellStyle name="Followed Hyperlink" xfId="2017" builtinId="9" hidden="1"/>
    <cellStyle name="Followed Hyperlink" xfId="2019" builtinId="9" hidden="1"/>
    <cellStyle name="Followed Hyperlink" xfId="2021" builtinId="9" hidden="1"/>
    <cellStyle name="Followed Hyperlink" xfId="2023" builtinId="9" hidden="1"/>
    <cellStyle name="Followed Hyperlink" xfId="2025" builtinId="9" hidden="1"/>
    <cellStyle name="Followed Hyperlink" xfId="2027" builtinId="9" hidden="1"/>
    <cellStyle name="Followed Hyperlink" xfId="2029" builtinId="9" hidden="1"/>
    <cellStyle name="Followed Hyperlink" xfId="2031" builtinId="9" hidden="1"/>
    <cellStyle name="Followed Hyperlink" xfId="2033" builtinId="9" hidden="1"/>
    <cellStyle name="Followed Hyperlink" xfId="2035" builtinId="9" hidden="1"/>
    <cellStyle name="Followed Hyperlink" xfId="2037" builtinId="9" hidden="1"/>
    <cellStyle name="Followed Hyperlink" xfId="2039" builtinId="9" hidden="1"/>
    <cellStyle name="Followed Hyperlink" xfId="2041" builtinId="9" hidden="1"/>
    <cellStyle name="Followed Hyperlink" xfId="2043" builtinId="9" hidden="1"/>
    <cellStyle name="Followed Hyperlink" xfId="2045" builtinId="9" hidden="1"/>
    <cellStyle name="Followed Hyperlink" xfId="2047" builtinId="9" hidden="1"/>
    <cellStyle name="Followed Hyperlink" xfId="2049" builtinId="9" hidden="1"/>
    <cellStyle name="Followed Hyperlink" xfId="2051" builtinId="9" hidden="1"/>
    <cellStyle name="Followed Hyperlink" xfId="2053" builtinId="9" hidden="1"/>
    <cellStyle name="Followed Hyperlink" xfId="2055" builtinId="9" hidden="1"/>
    <cellStyle name="Followed Hyperlink" xfId="2057" builtinId="9" hidden="1"/>
    <cellStyle name="Followed Hyperlink" xfId="2059" builtinId="9" hidden="1"/>
    <cellStyle name="Followed Hyperlink" xfId="2061" builtinId="9" hidden="1"/>
    <cellStyle name="Followed Hyperlink" xfId="2063" builtinId="9" hidden="1"/>
    <cellStyle name="Followed Hyperlink" xfId="2065" builtinId="9" hidden="1"/>
    <cellStyle name="Followed Hyperlink" xfId="2067" builtinId="9" hidden="1"/>
    <cellStyle name="Followed Hyperlink" xfId="2069" builtinId="9" hidden="1"/>
    <cellStyle name="Followed Hyperlink" xfId="2071" builtinId="9" hidden="1"/>
    <cellStyle name="Followed Hyperlink" xfId="2073" builtinId="9" hidden="1"/>
    <cellStyle name="Followed Hyperlink" xfId="2075" builtinId="9" hidden="1"/>
    <cellStyle name="Followed Hyperlink" xfId="2077" builtinId="9" hidden="1"/>
    <cellStyle name="Followed Hyperlink" xfId="2079" builtinId="9" hidden="1"/>
    <cellStyle name="Followed Hyperlink" xfId="2081" builtinId="9" hidden="1"/>
    <cellStyle name="Followed Hyperlink" xfId="2083" builtinId="9" hidden="1"/>
    <cellStyle name="Followed Hyperlink" xfId="2085" builtinId="9" hidden="1"/>
    <cellStyle name="Followed Hyperlink" xfId="2087" builtinId="9" hidden="1"/>
    <cellStyle name="Followed Hyperlink" xfId="2089" builtinId="9" hidden="1"/>
    <cellStyle name="Followed Hyperlink" xfId="2091" builtinId="9" hidden="1"/>
    <cellStyle name="Followed Hyperlink" xfId="2093" builtinId="9" hidden="1"/>
    <cellStyle name="Followed Hyperlink" xfId="2095" builtinId="9" hidden="1"/>
    <cellStyle name="Followed Hyperlink" xfId="2097" builtinId="9" hidden="1"/>
    <cellStyle name="Followed Hyperlink" xfId="2099" builtinId="9" hidden="1"/>
    <cellStyle name="Followed Hyperlink" xfId="2101" builtinId="9" hidden="1"/>
    <cellStyle name="Followed Hyperlink" xfId="2103" builtinId="9" hidden="1"/>
    <cellStyle name="Followed Hyperlink" xfId="2105" builtinId="9" hidden="1"/>
    <cellStyle name="Followed Hyperlink" xfId="2107" builtinId="9" hidden="1"/>
    <cellStyle name="Followed Hyperlink" xfId="2109" builtinId="9" hidden="1"/>
    <cellStyle name="Followed Hyperlink" xfId="2111" builtinId="9" hidden="1"/>
    <cellStyle name="Followed Hyperlink" xfId="2113" builtinId="9" hidden="1"/>
    <cellStyle name="Followed Hyperlink" xfId="2115" builtinId="9" hidden="1"/>
    <cellStyle name="Followed Hyperlink" xfId="2117" builtinId="9" hidden="1"/>
    <cellStyle name="Followed Hyperlink" xfId="2119" builtinId="9" hidden="1"/>
    <cellStyle name="Followed Hyperlink" xfId="2121" builtinId="9" hidden="1"/>
    <cellStyle name="Followed Hyperlink" xfId="2123" builtinId="9" hidden="1"/>
    <cellStyle name="Followed Hyperlink" xfId="2125" builtinId="9" hidden="1"/>
    <cellStyle name="Followed Hyperlink" xfId="2127" builtinId="9" hidden="1"/>
    <cellStyle name="Followed Hyperlink" xfId="2129" builtinId="9" hidden="1"/>
    <cellStyle name="Followed Hyperlink" xfId="2131" builtinId="9" hidden="1"/>
    <cellStyle name="Followed Hyperlink" xfId="2133" builtinId="9" hidden="1"/>
    <cellStyle name="Followed Hyperlink" xfId="2135" builtinId="9" hidden="1"/>
    <cellStyle name="Followed Hyperlink" xfId="2137" builtinId="9" hidden="1"/>
    <cellStyle name="Followed Hyperlink" xfId="2139" builtinId="9" hidden="1"/>
    <cellStyle name="Followed Hyperlink" xfId="2141" builtinId="9" hidden="1"/>
    <cellStyle name="Followed Hyperlink" xfId="2143" builtinId="9" hidden="1"/>
    <cellStyle name="Followed Hyperlink" xfId="2145" builtinId="9" hidden="1"/>
    <cellStyle name="Followed Hyperlink" xfId="2147" builtinId="9" hidden="1"/>
    <cellStyle name="Followed Hyperlink" xfId="2149" builtinId="9" hidden="1"/>
    <cellStyle name="Followed Hyperlink" xfId="2151" builtinId="9" hidden="1"/>
    <cellStyle name="Followed Hyperlink" xfId="2153" builtinId="9" hidden="1"/>
    <cellStyle name="Followed Hyperlink" xfId="2155" builtinId="9" hidden="1"/>
    <cellStyle name="Followed Hyperlink" xfId="2157" builtinId="9" hidden="1"/>
    <cellStyle name="Followed Hyperlink" xfId="2159" builtinId="9" hidden="1"/>
    <cellStyle name="Followed Hyperlink" xfId="2161" builtinId="9" hidden="1"/>
    <cellStyle name="Followed Hyperlink" xfId="2163" builtinId="9" hidden="1"/>
    <cellStyle name="Followed Hyperlink" xfId="2165" builtinId="9" hidden="1"/>
    <cellStyle name="Followed Hyperlink" xfId="2167" builtinId="9" hidden="1"/>
    <cellStyle name="Followed Hyperlink" xfId="2169" builtinId="9" hidden="1"/>
    <cellStyle name="Followed Hyperlink" xfId="2171" builtinId="9" hidden="1"/>
    <cellStyle name="Followed Hyperlink" xfId="2173" builtinId="9" hidden="1"/>
    <cellStyle name="Followed Hyperlink" xfId="2175" builtinId="9" hidden="1"/>
    <cellStyle name="Followed Hyperlink" xfId="2177" builtinId="9" hidden="1"/>
    <cellStyle name="Followed Hyperlink" xfId="2179" builtinId="9" hidden="1"/>
    <cellStyle name="Followed Hyperlink" xfId="2181" builtinId="9" hidden="1"/>
    <cellStyle name="Followed Hyperlink" xfId="2183" builtinId="9" hidden="1"/>
    <cellStyle name="Followed Hyperlink" xfId="2185" builtinId="9" hidden="1"/>
    <cellStyle name="Followed Hyperlink" xfId="2187" builtinId="9" hidden="1"/>
    <cellStyle name="Followed Hyperlink" xfId="2189" builtinId="9" hidden="1"/>
    <cellStyle name="Followed Hyperlink" xfId="2191" builtinId="9" hidden="1"/>
    <cellStyle name="Followed Hyperlink" xfId="2193" builtinId="9" hidden="1"/>
    <cellStyle name="Followed Hyperlink" xfId="2195" builtinId="9" hidden="1"/>
    <cellStyle name="Followed Hyperlink" xfId="2197" builtinId="9" hidden="1"/>
    <cellStyle name="Followed Hyperlink" xfId="2199" builtinId="9" hidden="1"/>
    <cellStyle name="Followed Hyperlink" xfId="2201" builtinId="9" hidden="1"/>
    <cellStyle name="Followed Hyperlink" xfId="2203" builtinId="9" hidden="1"/>
    <cellStyle name="Followed Hyperlink" xfId="2205" builtinId="9" hidden="1"/>
    <cellStyle name="Followed Hyperlink" xfId="2207" builtinId="9"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Hyperlink" xfId="55" builtinId="8" hidden="1"/>
    <cellStyle name="Hyperlink" xfId="57" builtinId="8" hidden="1"/>
    <cellStyle name="Hyperlink" xfId="59" builtinId="8" hidden="1"/>
    <cellStyle name="Hyperlink" xfId="61" builtinId="8" hidden="1"/>
    <cellStyle name="Hyperlink" xfId="63" builtinId="8" hidden="1"/>
    <cellStyle name="Hyperlink" xfId="65" builtinId="8" hidden="1"/>
    <cellStyle name="Hyperlink" xfId="67" builtinId="8" hidden="1"/>
    <cellStyle name="Hyperlink" xfId="69" builtinId="8" hidden="1"/>
    <cellStyle name="Hyperlink" xfId="71" builtinId="8" hidden="1"/>
    <cellStyle name="Hyperlink" xfId="73" builtinId="8" hidden="1"/>
    <cellStyle name="Hyperlink" xfId="75" builtinId="8" hidden="1"/>
    <cellStyle name="Hyperlink" xfId="77" builtinId="8" hidden="1"/>
    <cellStyle name="Hyperlink" xfId="79" builtinId="8" hidden="1"/>
    <cellStyle name="Hyperlink" xfId="81" builtinId="8" hidden="1"/>
    <cellStyle name="Hyperlink" xfId="83" builtinId="8" hidden="1"/>
    <cellStyle name="Hyperlink" xfId="85" builtinId="8" hidden="1"/>
    <cellStyle name="Hyperlink" xfId="87" builtinId="8" hidden="1"/>
    <cellStyle name="Hyperlink" xfId="89" builtinId="8" hidden="1"/>
    <cellStyle name="Hyperlink" xfId="91" builtinId="8" hidden="1"/>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hidden="1"/>
    <cellStyle name="Hyperlink" xfId="179" builtinId="8" hidden="1"/>
    <cellStyle name="Hyperlink" xfId="181" builtinId="8" hidden="1"/>
    <cellStyle name="Hyperlink" xfId="183" builtinId="8" hidden="1"/>
    <cellStyle name="Hyperlink" xfId="185" builtinId="8" hidden="1"/>
    <cellStyle name="Hyperlink" xfId="187" builtinId="8" hidden="1"/>
    <cellStyle name="Hyperlink" xfId="189" builtinId="8" hidden="1"/>
    <cellStyle name="Hyperlink" xfId="191" builtinId="8" hidden="1"/>
    <cellStyle name="Hyperlink" xfId="193" builtinId="8" hidden="1"/>
    <cellStyle name="Hyperlink" xfId="195" builtinId="8" hidden="1"/>
    <cellStyle name="Hyperlink" xfId="197" builtinId="8" hidden="1"/>
    <cellStyle name="Hyperlink" xfId="199" builtinId="8" hidden="1"/>
    <cellStyle name="Hyperlink" xfId="201" builtinId="8" hidden="1"/>
    <cellStyle name="Hyperlink" xfId="203" builtinId="8" hidden="1"/>
    <cellStyle name="Hyperlink" xfId="205" builtinId="8" hidden="1"/>
    <cellStyle name="Hyperlink" xfId="207" builtinId="8" hidden="1"/>
    <cellStyle name="Hyperlink" xfId="209" builtinId="8" hidden="1"/>
    <cellStyle name="Hyperlink" xfId="211" builtinId="8" hidden="1"/>
    <cellStyle name="Hyperlink" xfId="213" builtinId="8" hidden="1"/>
    <cellStyle name="Hyperlink" xfId="215" builtinId="8" hidden="1"/>
    <cellStyle name="Hyperlink" xfId="217" builtinId="8" hidden="1"/>
    <cellStyle name="Hyperlink" xfId="219" builtinId="8" hidden="1"/>
    <cellStyle name="Hyperlink" xfId="221" builtinId="8" hidden="1"/>
    <cellStyle name="Hyperlink" xfId="223" builtinId="8" hidden="1"/>
    <cellStyle name="Hyperlink" xfId="225" builtinId="8" hidden="1"/>
    <cellStyle name="Hyperlink" xfId="227" builtinId="8" hidden="1"/>
    <cellStyle name="Hyperlink" xfId="229" builtinId="8" hidden="1"/>
    <cellStyle name="Hyperlink" xfId="231" builtinId="8" hidden="1"/>
    <cellStyle name="Hyperlink" xfId="233" builtinId="8" hidden="1"/>
    <cellStyle name="Hyperlink" xfId="235" builtinId="8" hidden="1"/>
    <cellStyle name="Hyperlink" xfId="237" builtinId="8" hidden="1"/>
    <cellStyle name="Hyperlink" xfId="239" builtinId="8" hidden="1"/>
    <cellStyle name="Hyperlink" xfId="241" builtinId="8" hidden="1"/>
    <cellStyle name="Hyperlink" xfId="243" builtinId="8" hidden="1"/>
    <cellStyle name="Hyperlink" xfId="245" builtinId="8" hidden="1"/>
    <cellStyle name="Hyperlink" xfId="247" builtinId="8" hidden="1"/>
    <cellStyle name="Hyperlink" xfId="249" builtinId="8" hidden="1"/>
    <cellStyle name="Hyperlink" xfId="251" builtinId="8" hidden="1"/>
    <cellStyle name="Hyperlink" xfId="253" builtinId="8" hidden="1"/>
    <cellStyle name="Hyperlink" xfId="255" builtinId="8" hidden="1"/>
    <cellStyle name="Hyperlink" xfId="257" builtinId="8" hidden="1"/>
    <cellStyle name="Hyperlink" xfId="259" builtinId="8" hidden="1"/>
    <cellStyle name="Hyperlink" xfId="261" builtinId="8" hidden="1"/>
    <cellStyle name="Hyperlink" xfId="263" builtinId="8" hidden="1"/>
    <cellStyle name="Hyperlink" xfId="265" builtinId="8" hidden="1"/>
    <cellStyle name="Hyperlink" xfId="267" builtinId="8" hidden="1"/>
    <cellStyle name="Hyperlink" xfId="269" builtinId="8" hidden="1"/>
    <cellStyle name="Hyperlink" xfId="271" builtinId="8" hidden="1"/>
    <cellStyle name="Hyperlink" xfId="273" builtinId="8" hidden="1"/>
    <cellStyle name="Hyperlink" xfId="275" builtinId="8" hidden="1"/>
    <cellStyle name="Hyperlink" xfId="277" builtinId="8" hidden="1"/>
    <cellStyle name="Hyperlink" xfId="279" builtinId="8" hidden="1"/>
    <cellStyle name="Hyperlink" xfId="281" builtinId="8" hidden="1"/>
    <cellStyle name="Hyperlink" xfId="283" builtinId="8" hidden="1"/>
    <cellStyle name="Hyperlink" xfId="285" builtinId="8" hidden="1"/>
    <cellStyle name="Hyperlink" xfId="287" builtinId="8" hidden="1"/>
    <cellStyle name="Hyperlink" xfId="289" builtinId="8" hidden="1"/>
    <cellStyle name="Hyperlink" xfId="291" builtinId="8" hidden="1"/>
    <cellStyle name="Hyperlink" xfId="293" builtinId="8" hidden="1"/>
    <cellStyle name="Hyperlink" xfId="295" builtinId="8" hidden="1"/>
    <cellStyle name="Hyperlink" xfId="297" builtinId="8" hidden="1"/>
    <cellStyle name="Hyperlink" xfId="299" builtinId="8" hidden="1"/>
    <cellStyle name="Hyperlink" xfId="301" builtinId="8" hidden="1"/>
    <cellStyle name="Hyperlink" xfId="303" builtinId="8" hidden="1"/>
    <cellStyle name="Hyperlink" xfId="305" builtinId="8" hidden="1"/>
    <cellStyle name="Hyperlink" xfId="307" builtinId="8" hidden="1"/>
    <cellStyle name="Hyperlink" xfId="309" builtinId="8" hidden="1"/>
    <cellStyle name="Hyperlink" xfId="311" builtinId="8" hidden="1"/>
    <cellStyle name="Hyperlink" xfId="313" builtinId="8" hidden="1"/>
    <cellStyle name="Hyperlink" xfId="315" builtinId="8" hidden="1"/>
    <cellStyle name="Hyperlink" xfId="317" builtinId="8" hidden="1"/>
    <cellStyle name="Hyperlink" xfId="319" builtinId="8" hidden="1"/>
    <cellStyle name="Hyperlink" xfId="321" builtinId="8" hidden="1"/>
    <cellStyle name="Hyperlink" xfId="323" builtinId="8" hidden="1"/>
    <cellStyle name="Hyperlink" xfId="325" builtinId="8" hidden="1"/>
    <cellStyle name="Hyperlink" xfId="327" builtinId="8" hidden="1"/>
    <cellStyle name="Hyperlink" xfId="329" builtinId="8" hidden="1"/>
    <cellStyle name="Hyperlink" xfId="331" builtinId="8" hidden="1"/>
    <cellStyle name="Hyperlink" xfId="333" builtinId="8" hidden="1"/>
    <cellStyle name="Hyperlink" xfId="335" builtinId="8" hidden="1"/>
    <cellStyle name="Hyperlink" xfId="337" builtinId="8" hidden="1"/>
    <cellStyle name="Hyperlink" xfId="339" builtinId="8" hidden="1"/>
    <cellStyle name="Hyperlink" xfId="341" builtinId="8" hidden="1"/>
    <cellStyle name="Hyperlink" xfId="343" builtinId="8" hidden="1"/>
    <cellStyle name="Hyperlink" xfId="345" builtinId="8" hidden="1"/>
    <cellStyle name="Hyperlink" xfId="347" builtinId="8" hidden="1"/>
    <cellStyle name="Hyperlink" xfId="349" builtinId="8" hidden="1"/>
    <cellStyle name="Hyperlink" xfId="351" builtinId="8" hidden="1"/>
    <cellStyle name="Hyperlink" xfId="353" builtinId="8" hidden="1"/>
    <cellStyle name="Hyperlink" xfId="355" builtinId="8" hidden="1"/>
    <cellStyle name="Hyperlink" xfId="357" builtinId="8" hidden="1"/>
    <cellStyle name="Hyperlink" xfId="359" builtinId="8" hidden="1"/>
    <cellStyle name="Hyperlink" xfId="361" builtinId="8" hidden="1"/>
    <cellStyle name="Hyperlink" xfId="363" builtinId="8" hidden="1"/>
    <cellStyle name="Hyperlink" xfId="365" builtinId="8" hidden="1"/>
    <cellStyle name="Hyperlink" xfId="367" builtinId="8" hidden="1"/>
    <cellStyle name="Hyperlink" xfId="369" builtinId="8" hidden="1"/>
    <cellStyle name="Hyperlink" xfId="371" builtinId="8" hidden="1"/>
    <cellStyle name="Hyperlink" xfId="373" builtinId="8" hidden="1"/>
    <cellStyle name="Hyperlink" xfId="375" builtinId="8" hidden="1"/>
    <cellStyle name="Hyperlink" xfId="377" builtinId="8" hidden="1"/>
    <cellStyle name="Hyperlink" xfId="379" builtinId="8" hidden="1"/>
    <cellStyle name="Hyperlink" xfId="381" builtinId="8" hidden="1"/>
    <cellStyle name="Hyperlink" xfId="383" builtinId="8" hidden="1"/>
    <cellStyle name="Hyperlink" xfId="385" builtinId="8" hidden="1"/>
    <cellStyle name="Hyperlink" xfId="387" builtinId="8" hidden="1"/>
    <cellStyle name="Hyperlink" xfId="389" builtinId="8" hidden="1"/>
    <cellStyle name="Hyperlink" xfId="391" builtinId="8" hidden="1"/>
    <cellStyle name="Hyperlink" xfId="393" builtinId="8" hidden="1"/>
    <cellStyle name="Hyperlink" xfId="395" builtinId="8" hidden="1"/>
    <cellStyle name="Hyperlink" xfId="397" builtinId="8" hidden="1"/>
    <cellStyle name="Hyperlink" xfId="399" builtinId="8" hidden="1"/>
    <cellStyle name="Hyperlink" xfId="401" builtinId="8" hidden="1"/>
    <cellStyle name="Hyperlink" xfId="403" builtinId="8" hidden="1"/>
    <cellStyle name="Hyperlink" xfId="405" builtinId="8" hidden="1"/>
    <cellStyle name="Hyperlink" xfId="407" builtinId="8" hidden="1"/>
    <cellStyle name="Hyperlink" xfId="409" builtinId="8" hidden="1"/>
    <cellStyle name="Hyperlink" xfId="411" builtinId="8" hidden="1"/>
    <cellStyle name="Hyperlink" xfId="413" builtinId="8" hidden="1"/>
    <cellStyle name="Hyperlink" xfId="415" builtinId="8" hidden="1"/>
    <cellStyle name="Hyperlink" xfId="417" builtinId="8" hidden="1"/>
    <cellStyle name="Hyperlink" xfId="419" builtinId="8" hidden="1"/>
    <cellStyle name="Hyperlink" xfId="421" builtinId="8" hidden="1"/>
    <cellStyle name="Hyperlink" xfId="423" builtinId="8" hidden="1"/>
    <cellStyle name="Hyperlink" xfId="425" builtinId="8" hidden="1"/>
    <cellStyle name="Hyperlink" xfId="427" builtinId="8" hidden="1"/>
    <cellStyle name="Hyperlink" xfId="429" builtinId="8" hidden="1"/>
    <cellStyle name="Hyperlink" xfId="431" builtinId="8" hidden="1"/>
    <cellStyle name="Hyperlink" xfId="433" builtinId="8" hidden="1"/>
    <cellStyle name="Hyperlink" xfId="435" builtinId="8" hidden="1"/>
    <cellStyle name="Hyperlink" xfId="437" builtinId="8" hidden="1"/>
    <cellStyle name="Hyperlink" xfId="439" builtinId="8" hidden="1"/>
    <cellStyle name="Hyperlink" xfId="441" builtinId="8" hidden="1"/>
    <cellStyle name="Hyperlink" xfId="443" builtinId="8" hidden="1"/>
    <cellStyle name="Hyperlink" xfId="445" builtinId="8" hidden="1"/>
    <cellStyle name="Hyperlink" xfId="447" builtinId="8" hidden="1"/>
    <cellStyle name="Hyperlink" xfId="449" builtinId="8" hidden="1"/>
    <cellStyle name="Hyperlink" xfId="451" builtinId="8" hidden="1"/>
    <cellStyle name="Hyperlink" xfId="453" builtinId="8" hidden="1"/>
    <cellStyle name="Hyperlink" xfId="455" builtinId="8" hidden="1"/>
    <cellStyle name="Hyperlink" xfId="457" builtinId="8" hidden="1"/>
    <cellStyle name="Hyperlink" xfId="459" builtinId="8" hidden="1"/>
    <cellStyle name="Hyperlink" xfId="461" builtinId="8" hidden="1"/>
    <cellStyle name="Hyperlink" xfId="463" builtinId="8" hidden="1"/>
    <cellStyle name="Hyperlink" xfId="465" builtinId="8" hidden="1"/>
    <cellStyle name="Hyperlink" xfId="467" builtinId="8" hidden="1"/>
    <cellStyle name="Hyperlink" xfId="469" builtinId="8" hidden="1"/>
    <cellStyle name="Hyperlink" xfId="471" builtinId="8" hidden="1"/>
    <cellStyle name="Hyperlink" xfId="473" builtinId="8" hidden="1"/>
    <cellStyle name="Hyperlink" xfId="475" builtinId="8" hidden="1"/>
    <cellStyle name="Hyperlink" xfId="477" builtinId="8" hidden="1"/>
    <cellStyle name="Hyperlink" xfId="479" builtinId="8" hidden="1"/>
    <cellStyle name="Hyperlink" xfId="481" builtinId="8" hidden="1"/>
    <cellStyle name="Hyperlink" xfId="483" builtinId="8" hidden="1"/>
    <cellStyle name="Hyperlink" xfId="485" builtinId="8" hidden="1"/>
    <cellStyle name="Hyperlink" xfId="487" builtinId="8" hidden="1"/>
    <cellStyle name="Hyperlink" xfId="489" builtinId="8" hidden="1"/>
    <cellStyle name="Hyperlink" xfId="491" builtinId="8" hidden="1"/>
    <cellStyle name="Hyperlink" xfId="493" builtinId="8" hidden="1"/>
    <cellStyle name="Hyperlink" xfId="495" builtinId="8" hidden="1"/>
    <cellStyle name="Hyperlink" xfId="497" builtinId="8" hidden="1"/>
    <cellStyle name="Hyperlink" xfId="499" builtinId="8" hidden="1"/>
    <cellStyle name="Hyperlink" xfId="501" builtinId="8" hidden="1"/>
    <cellStyle name="Hyperlink" xfId="503" builtinId="8" hidden="1"/>
    <cellStyle name="Hyperlink" xfId="505" builtinId="8" hidden="1"/>
    <cellStyle name="Hyperlink" xfId="507" builtinId="8" hidden="1"/>
    <cellStyle name="Hyperlink" xfId="509" builtinId="8" hidden="1"/>
    <cellStyle name="Hyperlink" xfId="511" builtinId="8" hidden="1"/>
    <cellStyle name="Hyperlink" xfId="513" builtinId="8" hidden="1"/>
    <cellStyle name="Hyperlink" xfId="515" builtinId="8" hidden="1"/>
    <cellStyle name="Hyperlink" xfId="517" builtinId="8" hidden="1"/>
    <cellStyle name="Hyperlink" xfId="519" builtinId="8" hidden="1"/>
    <cellStyle name="Hyperlink" xfId="521" builtinId="8" hidden="1"/>
    <cellStyle name="Hyperlink" xfId="523" builtinId="8" hidden="1"/>
    <cellStyle name="Hyperlink" xfId="525" builtinId="8" hidden="1"/>
    <cellStyle name="Hyperlink" xfId="527" builtinId="8" hidden="1"/>
    <cellStyle name="Hyperlink" xfId="529" builtinId="8" hidden="1"/>
    <cellStyle name="Hyperlink" xfId="531" builtinId="8" hidden="1"/>
    <cellStyle name="Hyperlink" xfId="533" builtinId="8" hidden="1"/>
    <cellStyle name="Hyperlink" xfId="535" builtinId="8" hidden="1"/>
    <cellStyle name="Hyperlink" xfId="537" builtinId="8" hidden="1"/>
    <cellStyle name="Hyperlink" xfId="539" builtinId="8" hidden="1"/>
    <cellStyle name="Hyperlink" xfId="541" builtinId="8" hidden="1"/>
    <cellStyle name="Hyperlink" xfId="543" builtinId="8" hidden="1"/>
    <cellStyle name="Hyperlink" xfId="545" builtinId="8" hidden="1"/>
    <cellStyle name="Hyperlink" xfId="547" builtinId="8" hidden="1"/>
    <cellStyle name="Hyperlink" xfId="549" builtinId="8" hidden="1"/>
    <cellStyle name="Hyperlink" xfId="551" builtinId="8" hidden="1"/>
    <cellStyle name="Hyperlink" xfId="553" builtinId="8" hidden="1"/>
    <cellStyle name="Hyperlink" xfId="555" builtinId="8" hidden="1"/>
    <cellStyle name="Hyperlink" xfId="557" builtinId="8" hidden="1"/>
    <cellStyle name="Hyperlink" xfId="559" builtinId="8" hidden="1"/>
    <cellStyle name="Hyperlink" xfId="561" builtinId="8" hidden="1"/>
    <cellStyle name="Hyperlink" xfId="563" builtinId="8" hidden="1"/>
    <cellStyle name="Hyperlink" xfId="565" builtinId="8" hidden="1"/>
    <cellStyle name="Hyperlink" xfId="567" builtinId="8" hidden="1"/>
    <cellStyle name="Hyperlink" xfId="569" builtinId="8" hidden="1"/>
    <cellStyle name="Hyperlink" xfId="571" builtinId="8" hidden="1"/>
    <cellStyle name="Hyperlink" xfId="573" builtinId="8" hidden="1"/>
    <cellStyle name="Hyperlink" xfId="575" builtinId="8" hidden="1"/>
    <cellStyle name="Hyperlink" xfId="577" builtinId="8" hidden="1"/>
    <cellStyle name="Hyperlink" xfId="579" builtinId="8" hidden="1"/>
    <cellStyle name="Hyperlink" xfId="581" builtinId="8" hidden="1"/>
    <cellStyle name="Hyperlink" xfId="583" builtinId="8" hidden="1"/>
    <cellStyle name="Hyperlink" xfId="585" builtinId="8" hidden="1"/>
    <cellStyle name="Hyperlink" xfId="587" builtinId="8" hidden="1"/>
    <cellStyle name="Hyperlink" xfId="589" builtinId="8" hidden="1"/>
    <cellStyle name="Hyperlink" xfId="591" builtinId="8" hidden="1"/>
    <cellStyle name="Hyperlink" xfId="593"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hidden="1"/>
    <cellStyle name="Hyperlink" xfId="649" builtinId="8" hidden="1"/>
    <cellStyle name="Hyperlink" xfId="651" builtinId="8" hidden="1"/>
    <cellStyle name="Hyperlink" xfId="653" builtinId="8" hidden="1"/>
    <cellStyle name="Hyperlink" xfId="655" builtinId="8" hidden="1"/>
    <cellStyle name="Hyperlink" xfId="657" builtinId="8" hidden="1"/>
    <cellStyle name="Hyperlink" xfId="659" builtinId="8" hidden="1"/>
    <cellStyle name="Hyperlink" xfId="661" builtinId="8" hidden="1"/>
    <cellStyle name="Hyperlink" xfId="663" builtinId="8" hidden="1"/>
    <cellStyle name="Hyperlink" xfId="665" builtinId="8" hidden="1"/>
    <cellStyle name="Hyperlink" xfId="667" builtinId="8" hidden="1"/>
    <cellStyle name="Hyperlink" xfId="669" builtinId="8" hidden="1"/>
    <cellStyle name="Hyperlink" xfId="671" builtinId="8" hidden="1"/>
    <cellStyle name="Hyperlink" xfId="673" builtinId="8" hidden="1"/>
    <cellStyle name="Hyperlink" xfId="675" builtinId="8" hidden="1"/>
    <cellStyle name="Hyperlink" xfId="677" builtinId="8" hidden="1"/>
    <cellStyle name="Hyperlink" xfId="679" builtinId="8" hidden="1"/>
    <cellStyle name="Hyperlink" xfId="681" builtinId="8" hidden="1"/>
    <cellStyle name="Hyperlink" xfId="683" builtinId="8" hidden="1"/>
    <cellStyle name="Hyperlink" xfId="685" builtinId="8" hidden="1"/>
    <cellStyle name="Hyperlink" xfId="687" builtinId="8" hidden="1"/>
    <cellStyle name="Hyperlink" xfId="689" builtinId="8" hidden="1"/>
    <cellStyle name="Hyperlink" xfId="691" builtinId="8" hidden="1"/>
    <cellStyle name="Hyperlink" xfId="693" builtinId="8" hidden="1"/>
    <cellStyle name="Hyperlink" xfId="695" builtinId="8" hidden="1"/>
    <cellStyle name="Hyperlink" xfId="697" builtinId="8" hidden="1"/>
    <cellStyle name="Hyperlink" xfId="699" builtinId="8" hidden="1"/>
    <cellStyle name="Hyperlink" xfId="701" builtinId="8" hidden="1"/>
    <cellStyle name="Hyperlink" xfId="703" builtinId="8" hidden="1"/>
    <cellStyle name="Hyperlink" xfId="705" builtinId="8" hidden="1"/>
    <cellStyle name="Hyperlink" xfId="707" builtinId="8" hidden="1"/>
    <cellStyle name="Hyperlink" xfId="709" builtinId="8" hidden="1"/>
    <cellStyle name="Hyperlink" xfId="711" builtinId="8" hidden="1"/>
    <cellStyle name="Hyperlink" xfId="713" builtinId="8" hidden="1"/>
    <cellStyle name="Hyperlink" xfId="715" builtinId="8" hidden="1"/>
    <cellStyle name="Hyperlink" xfId="717" builtinId="8" hidden="1"/>
    <cellStyle name="Hyperlink" xfId="719" builtinId="8" hidden="1"/>
    <cellStyle name="Hyperlink" xfId="721" builtinId="8" hidden="1"/>
    <cellStyle name="Hyperlink" xfId="724" builtinId="8" hidden="1"/>
    <cellStyle name="Hyperlink" xfId="726" builtinId="8" hidden="1"/>
    <cellStyle name="Hyperlink" xfId="728" builtinId="8" hidden="1"/>
    <cellStyle name="Hyperlink" xfId="730" builtinId="8" hidden="1"/>
    <cellStyle name="Hyperlink" xfId="732" builtinId="8" hidden="1"/>
    <cellStyle name="Hyperlink" xfId="734" builtinId="8" hidden="1"/>
    <cellStyle name="Hyperlink" xfId="736" builtinId="8" hidden="1"/>
    <cellStyle name="Hyperlink" xfId="738" builtinId="8" hidden="1"/>
    <cellStyle name="Hyperlink" xfId="740" builtinId="8" hidden="1"/>
    <cellStyle name="Hyperlink" xfId="742" builtinId="8" hidden="1"/>
    <cellStyle name="Hyperlink" xfId="744" builtinId="8" hidden="1"/>
    <cellStyle name="Hyperlink" xfId="746" builtinId="8" hidden="1"/>
    <cellStyle name="Hyperlink" xfId="748" builtinId="8" hidden="1"/>
    <cellStyle name="Hyperlink" xfId="750" builtinId="8" hidden="1"/>
    <cellStyle name="Hyperlink" xfId="752" builtinId="8" hidden="1"/>
    <cellStyle name="Hyperlink" xfId="754" builtinId="8" hidden="1"/>
    <cellStyle name="Hyperlink" xfId="756" builtinId="8" hidden="1"/>
    <cellStyle name="Hyperlink" xfId="758" builtinId="8" hidden="1"/>
    <cellStyle name="Hyperlink" xfId="760" builtinId="8" hidden="1"/>
    <cellStyle name="Hyperlink" xfId="762" builtinId="8" hidden="1"/>
    <cellStyle name="Hyperlink" xfId="764" builtinId="8" hidden="1"/>
    <cellStyle name="Hyperlink" xfId="766" builtinId="8" hidden="1"/>
    <cellStyle name="Hyperlink" xfId="768" builtinId="8" hidden="1"/>
    <cellStyle name="Hyperlink" xfId="770" builtinId="8" hidden="1"/>
    <cellStyle name="Hyperlink" xfId="772" builtinId="8" hidden="1"/>
    <cellStyle name="Hyperlink" xfId="774" builtinId="8" hidden="1"/>
    <cellStyle name="Hyperlink" xfId="776" builtinId="8" hidden="1"/>
    <cellStyle name="Hyperlink" xfId="778" builtinId="8" hidden="1"/>
    <cellStyle name="Hyperlink" xfId="780" builtinId="8" hidden="1"/>
    <cellStyle name="Hyperlink" xfId="782" builtinId="8" hidden="1"/>
    <cellStyle name="Hyperlink" xfId="784" builtinId="8" hidden="1"/>
    <cellStyle name="Hyperlink" xfId="786" builtinId="8" hidden="1"/>
    <cellStyle name="Hyperlink" xfId="788" builtinId="8" hidden="1"/>
    <cellStyle name="Hyperlink" xfId="790" builtinId="8" hidden="1"/>
    <cellStyle name="Hyperlink" xfId="792" builtinId="8" hidden="1"/>
    <cellStyle name="Hyperlink" xfId="794" builtinId="8" hidden="1"/>
    <cellStyle name="Hyperlink" xfId="796" builtinId="8" hidden="1"/>
    <cellStyle name="Hyperlink" xfId="798" builtinId="8" hidden="1"/>
    <cellStyle name="Hyperlink" xfId="800" builtinId="8" hidden="1"/>
    <cellStyle name="Hyperlink" xfId="802" builtinId="8" hidden="1"/>
    <cellStyle name="Hyperlink" xfId="804" builtinId="8" hidden="1"/>
    <cellStyle name="Hyperlink" xfId="806" builtinId="8" hidden="1"/>
    <cellStyle name="Hyperlink" xfId="808" builtinId="8" hidden="1"/>
    <cellStyle name="Hyperlink" xfId="810" builtinId="8" hidden="1"/>
    <cellStyle name="Hyperlink" xfId="812" builtinId="8" hidden="1"/>
    <cellStyle name="Hyperlink" xfId="814" builtinId="8" hidden="1"/>
    <cellStyle name="Hyperlink" xfId="816" builtinId="8" hidden="1"/>
    <cellStyle name="Hyperlink" xfId="818" builtinId="8" hidden="1"/>
    <cellStyle name="Hyperlink" xfId="820" builtinId="8" hidden="1"/>
    <cellStyle name="Hyperlink" xfId="822" builtinId="8" hidden="1"/>
    <cellStyle name="Hyperlink" xfId="824" builtinId="8" hidden="1"/>
    <cellStyle name="Hyperlink" xfId="826" builtinId="8" hidden="1"/>
    <cellStyle name="Hyperlink" xfId="828" builtinId="8" hidden="1"/>
    <cellStyle name="Hyperlink" xfId="830" builtinId="8" hidden="1"/>
    <cellStyle name="Hyperlink" xfId="832" builtinId="8" hidden="1"/>
    <cellStyle name="Hyperlink" xfId="834" builtinId="8" hidden="1"/>
    <cellStyle name="Hyperlink" xfId="836" builtinId="8" hidden="1"/>
    <cellStyle name="Hyperlink" xfId="838" builtinId="8" hidden="1"/>
    <cellStyle name="Hyperlink" xfId="840" builtinId="8" hidden="1"/>
    <cellStyle name="Hyperlink" xfId="842" builtinId="8" hidden="1"/>
    <cellStyle name="Hyperlink" xfId="844" builtinId="8" hidden="1"/>
    <cellStyle name="Hyperlink" xfId="846" builtinId="8" hidden="1"/>
    <cellStyle name="Hyperlink" xfId="848" builtinId="8" hidden="1"/>
    <cellStyle name="Hyperlink" xfId="850" builtinId="8" hidden="1"/>
    <cellStyle name="Hyperlink" xfId="852" builtinId="8" hidden="1"/>
    <cellStyle name="Hyperlink" xfId="854" builtinId="8" hidden="1"/>
    <cellStyle name="Hyperlink" xfId="856" builtinId="8" hidden="1"/>
    <cellStyle name="Hyperlink" xfId="858" builtinId="8" hidden="1"/>
    <cellStyle name="Hyperlink" xfId="860" builtinId="8" hidden="1"/>
    <cellStyle name="Hyperlink" xfId="862" builtinId="8" hidden="1"/>
    <cellStyle name="Hyperlink" xfId="864" builtinId="8" hidden="1"/>
    <cellStyle name="Hyperlink" xfId="866" builtinId="8" hidden="1"/>
    <cellStyle name="Hyperlink" xfId="868" builtinId="8" hidden="1"/>
    <cellStyle name="Hyperlink" xfId="870" builtinId="8" hidden="1"/>
    <cellStyle name="Hyperlink" xfId="872" builtinId="8" hidden="1"/>
    <cellStyle name="Hyperlink" xfId="874" builtinId="8" hidden="1"/>
    <cellStyle name="Hyperlink" xfId="876" builtinId="8" hidden="1"/>
    <cellStyle name="Hyperlink" xfId="878" builtinId="8" hidden="1"/>
    <cellStyle name="Hyperlink" xfId="880" builtinId="8" hidden="1"/>
    <cellStyle name="Hyperlink" xfId="882" builtinId="8" hidden="1"/>
    <cellStyle name="Hyperlink" xfId="884" builtinId="8" hidden="1"/>
    <cellStyle name="Hyperlink" xfId="886" builtinId="8" hidden="1"/>
    <cellStyle name="Hyperlink" xfId="888" builtinId="8" hidden="1"/>
    <cellStyle name="Hyperlink" xfId="890" builtinId="8" hidden="1"/>
    <cellStyle name="Hyperlink" xfId="892" builtinId="8" hidden="1"/>
    <cellStyle name="Hyperlink" xfId="894" builtinId="8" hidden="1"/>
    <cellStyle name="Hyperlink" xfId="896" builtinId="8" hidden="1"/>
    <cellStyle name="Hyperlink" xfId="898" builtinId="8" hidden="1"/>
    <cellStyle name="Hyperlink" xfId="900" builtinId="8" hidden="1"/>
    <cellStyle name="Hyperlink" xfId="902" builtinId="8" hidden="1"/>
    <cellStyle name="Hyperlink" xfId="904" builtinId="8" hidden="1"/>
    <cellStyle name="Hyperlink" xfId="906" builtinId="8" hidden="1"/>
    <cellStyle name="Hyperlink" xfId="908" builtinId="8" hidden="1"/>
    <cellStyle name="Hyperlink" xfId="910" builtinId="8" hidden="1"/>
    <cellStyle name="Hyperlink" xfId="912" builtinId="8" hidden="1"/>
    <cellStyle name="Hyperlink" xfId="914" builtinId="8" hidden="1"/>
    <cellStyle name="Hyperlink" xfId="916" builtinId="8" hidden="1"/>
    <cellStyle name="Hyperlink" xfId="918" builtinId="8" hidden="1"/>
    <cellStyle name="Hyperlink" xfId="920" builtinId="8" hidden="1"/>
    <cellStyle name="Hyperlink" xfId="922" builtinId="8" hidden="1"/>
    <cellStyle name="Hyperlink" xfId="924" builtinId="8" hidden="1"/>
    <cellStyle name="Hyperlink" xfId="928" builtinId="8" hidden="1"/>
    <cellStyle name="Hyperlink" xfId="930" builtinId="8" hidden="1"/>
    <cellStyle name="Hyperlink" xfId="932" builtinId="8" hidden="1"/>
    <cellStyle name="Hyperlink" xfId="938" builtinId="8" hidden="1"/>
    <cellStyle name="Hyperlink" xfId="942" builtinId="8" hidden="1"/>
    <cellStyle name="Hyperlink" xfId="944" builtinId="8" hidden="1"/>
    <cellStyle name="Hyperlink" xfId="946" builtinId="8" hidden="1"/>
    <cellStyle name="Hyperlink" xfId="948" builtinId="8" hidden="1"/>
    <cellStyle name="Hyperlink" xfId="950" builtinId="8" hidden="1"/>
    <cellStyle name="Hyperlink" xfId="952" builtinId="8" hidden="1"/>
    <cellStyle name="Hyperlink" xfId="954" builtinId="8" hidden="1"/>
    <cellStyle name="Hyperlink" xfId="956" builtinId="8" hidden="1"/>
    <cellStyle name="Hyperlink" xfId="958" builtinId="8" hidden="1"/>
    <cellStyle name="Hyperlink" xfId="960" builtinId="8" hidden="1"/>
    <cellStyle name="Hyperlink" xfId="962" builtinId="8" hidden="1"/>
    <cellStyle name="Hyperlink" xfId="964" builtinId="8" hidden="1"/>
    <cellStyle name="Hyperlink" xfId="966" builtinId="8" hidden="1"/>
    <cellStyle name="Hyperlink" xfId="968" builtinId="8" hidden="1"/>
    <cellStyle name="Hyperlink" xfId="970" builtinId="8" hidden="1"/>
    <cellStyle name="Hyperlink" xfId="972" builtinId="8" hidden="1"/>
    <cellStyle name="Hyperlink" xfId="974" builtinId="8" hidden="1"/>
    <cellStyle name="Hyperlink" xfId="976" builtinId="8" hidden="1"/>
    <cellStyle name="Hyperlink" xfId="978" builtinId="8" hidden="1"/>
    <cellStyle name="Hyperlink" xfId="980" builtinId="8" hidden="1"/>
    <cellStyle name="Hyperlink" xfId="982" builtinId="8" hidden="1"/>
    <cellStyle name="Hyperlink" xfId="984" builtinId="8" hidden="1"/>
    <cellStyle name="Hyperlink" xfId="986" builtinId="8" hidden="1"/>
    <cellStyle name="Hyperlink" xfId="988" builtinId="8" hidden="1"/>
    <cellStyle name="Hyperlink" xfId="990" builtinId="8" hidden="1"/>
    <cellStyle name="Hyperlink" xfId="992" builtinId="8" hidden="1"/>
    <cellStyle name="Hyperlink" xfId="994" builtinId="8" hidden="1"/>
    <cellStyle name="Hyperlink" xfId="996" builtinId="8" hidden="1"/>
    <cellStyle name="Hyperlink" xfId="998" builtinId="8" hidden="1"/>
    <cellStyle name="Hyperlink" xfId="1000" builtinId="8" hidden="1"/>
    <cellStyle name="Hyperlink" xfId="1002" builtinId="8" hidden="1"/>
    <cellStyle name="Hyperlink" xfId="1004" builtinId="8" hidden="1"/>
    <cellStyle name="Hyperlink" xfId="1006" builtinId="8" hidden="1"/>
    <cellStyle name="Hyperlink" xfId="1008" builtinId="8" hidden="1"/>
    <cellStyle name="Hyperlink" xfId="1010" builtinId="8" hidden="1"/>
    <cellStyle name="Hyperlink" xfId="1012" builtinId="8" hidden="1"/>
    <cellStyle name="Hyperlink" xfId="1014" builtinId="8" hidden="1"/>
    <cellStyle name="Hyperlink" xfId="1016" builtinId="8" hidden="1"/>
    <cellStyle name="Hyperlink" xfId="1018" builtinId="8" hidden="1"/>
    <cellStyle name="Hyperlink" xfId="1020" builtinId="8" hidden="1"/>
    <cellStyle name="Hyperlink" xfId="1022" builtinId="8" hidden="1"/>
    <cellStyle name="Hyperlink" xfId="1024" builtinId="8" hidden="1"/>
    <cellStyle name="Hyperlink" xfId="1026" builtinId="8" hidden="1"/>
    <cellStyle name="Hyperlink" xfId="1028" builtinId="8" hidden="1"/>
    <cellStyle name="Hyperlink" xfId="1030" builtinId="8" hidden="1"/>
    <cellStyle name="Hyperlink" xfId="1032" builtinId="8" hidden="1"/>
    <cellStyle name="Hyperlink" xfId="1034" builtinId="8" hidden="1"/>
    <cellStyle name="Hyperlink" xfId="1036" builtinId="8" hidden="1"/>
    <cellStyle name="Hyperlink" xfId="1038" builtinId="8" hidden="1"/>
    <cellStyle name="Hyperlink" xfId="1040" builtinId="8" hidden="1"/>
    <cellStyle name="Hyperlink" xfId="1042" builtinId="8" hidden="1"/>
    <cellStyle name="Hyperlink" xfId="1044" builtinId="8" hidden="1"/>
    <cellStyle name="Hyperlink" xfId="1046" builtinId="8" hidden="1"/>
    <cellStyle name="Hyperlink" xfId="1048" builtinId="8" hidden="1"/>
    <cellStyle name="Hyperlink" xfId="1050" builtinId="8" hidden="1"/>
    <cellStyle name="Hyperlink" xfId="1052" builtinId="8" hidden="1"/>
    <cellStyle name="Hyperlink" xfId="1054" builtinId="8" hidden="1"/>
    <cellStyle name="Hyperlink" xfId="1056" builtinId="8" hidden="1"/>
    <cellStyle name="Hyperlink" xfId="1058" builtinId="8" hidden="1"/>
    <cellStyle name="Hyperlink" xfId="1060" builtinId="8" hidden="1"/>
    <cellStyle name="Hyperlink" xfId="1062" builtinId="8" hidden="1"/>
    <cellStyle name="Hyperlink" xfId="1064" builtinId="8" hidden="1"/>
    <cellStyle name="Hyperlink" xfId="1066" builtinId="8" hidden="1"/>
    <cellStyle name="Hyperlink" xfId="1068" builtinId="8" hidden="1"/>
    <cellStyle name="Hyperlink" xfId="1070" builtinId="8" hidden="1"/>
    <cellStyle name="Hyperlink" xfId="1072" builtinId="8" hidden="1"/>
    <cellStyle name="Hyperlink" xfId="1074" builtinId="8" hidden="1"/>
    <cellStyle name="Hyperlink" xfId="1076" builtinId="8" hidden="1"/>
    <cellStyle name="Hyperlink" xfId="1078" builtinId="8" hidden="1"/>
    <cellStyle name="Hyperlink" xfId="1080" builtinId="8" hidden="1"/>
    <cellStyle name="Hyperlink" xfId="1082" builtinId="8" hidden="1"/>
    <cellStyle name="Hyperlink" xfId="1084" builtinId="8" hidden="1"/>
    <cellStyle name="Hyperlink" xfId="1086" builtinId="8" hidden="1"/>
    <cellStyle name="Hyperlink" xfId="1088" builtinId="8" hidden="1"/>
    <cellStyle name="Hyperlink" xfId="1090" builtinId="8" hidden="1"/>
    <cellStyle name="Hyperlink" xfId="1092" builtinId="8" hidden="1"/>
    <cellStyle name="Hyperlink" xfId="1094" builtinId="8" hidden="1"/>
    <cellStyle name="Hyperlink" xfId="1096" builtinId="8" hidden="1"/>
    <cellStyle name="Hyperlink" xfId="1098" builtinId="8" hidden="1"/>
    <cellStyle name="Hyperlink" xfId="1100" builtinId="8" hidden="1"/>
    <cellStyle name="Hyperlink" xfId="1102" builtinId="8" hidden="1"/>
    <cellStyle name="Hyperlink" xfId="1104" builtinId="8" hidden="1"/>
    <cellStyle name="Hyperlink" xfId="1106" builtinId="8" hidden="1"/>
    <cellStyle name="Hyperlink" xfId="1108" builtinId="8" hidden="1"/>
    <cellStyle name="Hyperlink" xfId="1110" builtinId="8" hidden="1"/>
    <cellStyle name="Hyperlink" xfId="1112" builtinId="8" hidden="1"/>
    <cellStyle name="Hyperlink" xfId="1114" builtinId="8" hidden="1"/>
    <cellStyle name="Hyperlink" xfId="1116" builtinId="8" hidden="1"/>
    <cellStyle name="Hyperlink" xfId="1118" builtinId="8" hidden="1"/>
    <cellStyle name="Hyperlink" xfId="1120" builtinId="8" hidden="1"/>
    <cellStyle name="Hyperlink" xfId="1122" builtinId="8" hidden="1"/>
    <cellStyle name="Hyperlink" xfId="1124" builtinId="8" hidden="1"/>
    <cellStyle name="Hyperlink" xfId="1126" builtinId="8" hidden="1"/>
    <cellStyle name="Hyperlink" xfId="1128" builtinId="8" hidden="1"/>
    <cellStyle name="Hyperlink" xfId="1130" builtinId="8" hidden="1"/>
    <cellStyle name="Hyperlink" xfId="1132" builtinId="8" hidden="1"/>
    <cellStyle name="Hyperlink" xfId="1134" builtinId="8" hidden="1"/>
    <cellStyle name="Hyperlink" xfId="1136" builtinId="8" hidden="1"/>
    <cellStyle name="Hyperlink" xfId="1138" builtinId="8" hidden="1"/>
    <cellStyle name="Hyperlink" xfId="1140" builtinId="8" hidden="1"/>
    <cellStyle name="Hyperlink" xfId="1142" builtinId="8" hidden="1"/>
    <cellStyle name="Hyperlink" xfId="1144" builtinId="8" hidden="1"/>
    <cellStyle name="Hyperlink" xfId="1146" builtinId="8" hidden="1"/>
    <cellStyle name="Hyperlink" xfId="1148" builtinId="8" hidden="1"/>
    <cellStyle name="Hyperlink" xfId="1150" builtinId="8" hidden="1"/>
    <cellStyle name="Hyperlink" xfId="1152" builtinId="8" hidden="1"/>
    <cellStyle name="Hyperlink" xfId="1154" builtinId="8" hidden="1"/>
    <cellStyle name="Hyperlink" xfId="1156" builtinId="8" hidden="1"/>
    <cellStyle name="Hyperlink" xfId="1158" builtinId="8" hidden="1"/>
    <cellStyle name="Hyperlink" xfId="1160" builtinId="8" hidden="1"/>
    <cellStyle name="Hyperlink" xfId="1162" builtinId="8" hidden="1"/>
    <cellStyle name="Hyperlink" xfId="1164" builtinId="8" hidden="1"/>
    <cellStyle name="Hyperlink" xfId="1166" builtinId="8" hidden="1"/>
    <cellStyle name="Hyperlink" xfId="1168" builtinId="8" hidden="1"/>
    <cellStyle name="Hyperlink" xfId="1170" builtinId="8" hidden="1"/>
    <cellStyle name="Hyperlink" xfId="1172" builtinId="8" hidden="1"/>
    <cellStyle name="Hyperlink" xfId="1174" builtinId="8" hidden="1"/>
    <cellStyle name="Hyperlink" xfId="1176" builtinId="8" hidden="1"/>
    <cellStyle name="Hyperlink" xfId="1178" builtinId="8" hidden="1"/>
    <cellStyle name="Hyperlink" xfId="1180" builtinId="8" hidden="1"/>
    <cellStyle name="Hyperlink" xfId="1182" builtinId="8" hidden="1"/>
    <cellStyle name="Hyperlink" xfId="1184" builtinId="8" hidden="1"/>
    <cellStyle name="Hyperlink" xfId="1186" builtinId="8" hidden="1"/>
    <cellStyle name="Hyperlink" xfId="1188" builtinId="8" hidden="1"/>
    <cellStyle name="Hyperlink" xfId="1190" builtinId="8" hidden="1"/>
    <cellStyle name="Hyperlink" xfId="1192" builtinId="8" hidden="1"/>
    <cellStyle name="Hyperlink" xfId="1194" builtinId="8" hidden="1"/>
    <cellStyle name="Hyperlink" xfId="1196" builtinId="8" hidden="1"/>
    <cellStyle name="Hyperlink" xfId="1198" builtinId="8" hidden="1"/>
    <cellStyle name="Hyperlink" xfId="1200" builtinId="8" hidden="1"/>
    <cellStyle name="Hyperlink" xfId="1202" builtinId="8" hidden="1"/>
    <cellStyle name="Hyperlink" xfId="1204" builtinId="8" hidden="1"/>
    <cellStyle name="Hyperlink" xfId="1206" builtinId="8" hidden="1"/>
    <cellStyle name="Hyperlink" xfId="1208" builtinId="8" hidden="1"/>
    <cellStyle name="Hyperlink" xfId="1210" builtinId="8" hidden="1"/>
    <cellStyle name="Hyperlink" xfId="1212" builtinId="8" hidden="1"/>
    <cellStyle name="Hyperlink" xfId="1214" builtinId="8" hidden="1"/>
    <cellStyle name="Hyperlink" xfId="1216" builtinId="8" hidden="1"/>
    <cellStyle name="Hyperlink" xfId="1218" builtinId="8" hidden="1"/>
    <cellStyle name="Hyperlink" xfId="1220" builtinId="8" hidden="1"/>
    <cellStyle name="Hyperlink" xfId="1222" builtinId="8" hidden="1"/>
    <cellStyle name="Hyperlink" xfId="1224" builtinId="8" hidden="1"/>
    <cellStyle name="Hyperlink" xfId="1226" builtinId="8" hidden="1"/>
    <cellStyle name="Hyperlink" xfId="1228" builtinId="8" hidden="1"/>
    <cellStyle name="Hyperlink" xfId="1230" builtinId="8" hidden="1"/>
    <cellStyle name="Hyperlink" xfId="1232" builtinId="8" hidden="1"/>
    <cellStyle name="Hyperlink" xfId="1234" builtinId="8" hidden="1"/>
    <cellStyle name="Hyperlink" xfId="1236" builtinId="8" hidden="1"/>
    <cellStyle name="Hyperlink" xfId="1238" builtinId="8" hidden="1"/>
    <cellStyle name="Hyperlink" xfId="1240" builtinId="8" hidden="1"/>
    <cellStyle name="Hyperlink" xfId="1242" builtinId="8" hidden="1"/>
    <cellStyle name="Hyperlink" xfId="1244" builtinId="8" hidden="1"/>
    <cellStyle name="Hyperlink" xfId="1246" builtinId="8" hidden="1"/>
    <cellStyle name="Hyperlink" xfId="1248" builtinId="8" hidden="1"/>
    <cellStyle name="Hyperlink" xfId="1250" builtinId="8" hidden="1"/>
    <cellStyle name="Hyperlink" xfId="1252" builtinId="8" hidden="1"/>
    <cellStyle name="Hyperlink" xfId="1254" builtinId="8" hidden="1"/>
    <cellStyle name="Hyperlink" xfId="1256" builtinId="8" hidden="1"/>
    <cellStyle name="Hyperlink" xfId="1258" builtinId="8" hidden="1"/>
    <cellStyle name="Hyperlink" xfId="1260" builtinId="8" hidden="1"/>
    <cellStyle name="Hyperlink" xfId="1262" builtinId="8" hidden="1"/>
    <cellStyle name="Hyperlink" xfId="1264" builtinId="8" hidden="1"/>
    <cellStyle name="Hyperlink" xfId="1266" builtinId="8" hidden="1"/>
    <cellStyle name="Hyperlink" xfId="1268" builtinId="8" hidden="1"/>
    <cellStyle name="Hyperlink" xfId="1270" builtinId="8" hidden="1"/>
    <cellStyle name="Hyperlink" xfId="1272" builtinId="8" hidden="1"/>
    <cellStyle name="Hyperlink" xfId="1274" builtinId="8" hidden="1"/>
    <cellStyle name="Hyperlink" xfId="1276" builtinId="8" hidden="1"/>
    <cellStyle name="Hyperlink" xfId="1278" builtinId="8" hidden="1"/>
    <cellStyle name="Hyperlink" xfId="1280" builtinId="8" hidden="1"/>
    <cellStyle name="Hyperlink" xfId="1282" builtinId="8" hidden="1"/>
    <cellStyle name="Hyperlink" xfId="1284" builtinId="8" hidden="1"/>
    <cellStyle name="Hyperlink" xfId="1286" builtinId="8" hidden="1"/>
    <cellStyle name="Hyperlink" xfId="1288" builtinId="8" hidden="1"/>
    <cellStyle name="Hyperlink" xfId="1290" builtinId="8" hidden="1"/>
    <cellStyle name="Hyperlink" xfId="1292" builtinId="8" hidden="1"/>
    <cellStyle name="Hyperlink" xfId="1294" builtinId="8" hidden="1"/>
    <cellStyle name="Hyperlink" xfId="1296" builtinId="8" hidden="1"/>
    <cellStyle name="Hyperlink" xfId="1298" builtinId="8" hidden="1"/>
    <cellStyle name="Hyperlink" xfId="1300" builtinId="8" hidden="1"/>
    <cellStyle name="Hyperlink" xfId="1302" builtinId="8" hidden="1"/>
    <cellStyle name="Hyperlink" xfId="1304" builtinId="8" hidden="1"/>
    <cellStyle name="Hyperlink" xfId="1306" builtinId="8" hidden="1"/>
    <cellStyle name="Hyperlink" xfId="1308" builtinId="8" hidden="1"/>
    <cellStyle name="Hyperlink" xfId="1310" builtinId="8" hidden="1"/>
    <cellStyle name="Hyperlink" xfId="1312" builtinId="8" hidden="1"/>
    <cellStyle name="Hyperlink" xfId="1314" builtinId="8" hidden="1"/>
    <cellStyle name="Hyperlink" xfId="1316" builtinId="8" hidden="1"/>
    <cellStyle name="Hyperlink" xfId="1318" builtinId="8" hidden="1"/>
    <cellStyle name="Hyperlink" xfId="1320" builtinId="8" hidden="1"/>
    <cellStyle name="Hyperlink" xfId="1322" builtinId="8" hidden="1"/>
    <cellStyle name="Hyperlink" xfId="1324" builtinId="8" hidden="1"/>
    <cellStyle name="Hyperlink" xfId="1326" builtinId="8" hidden="1"/>
    <cellStyle name="Hyperlink" xfId="1328" builtinId="8" hidden="1"/>
    <cellStyle name="Hyperlink" xfId="1330" builtinId="8" hidden="1"/>
    <cellStyle name="Hyperlink" xfId="1332" builtinId="8" hidden="1"/>
    <cellStyle name="Hyperlink" xfId="1334" builtinId="8" hidden="1"/>
    <cellStyle name="Hyperlink" xfId="1336" builtinId="8" hidden="1"/>
    <cellStyle name="Hyperlink" xfId="1338" builtinId="8" hidden="1"/>
    <cellStyle name="Hyperlink" xfId="1340" builtinId="8" hidden="1"/>
    <cellStyle name="Hyperlink" xfId="1342" builtinId="8" hidden="1"/>
    <cellStyle name="Hyperlink" xfId="1344" builtinId="8" hidden="1"/>
    <cellStyle name="Hyperlink" xfId="1346" builtinId="8" hidden="1"/>
    <cellStyle name="Hyperlink" xfId="1348" builtinId="8" hidden="1"/>
    <cellStyle name="Hyperlink" xfId="1350" builtinId="8" hidden="1"/>
    <cellStyle name="Hyperlink" xfId="1352" builtinId="8" hidden="1"/>
    <cellStyle name="Hyperlink" xfId="1354" builtinId="8" hidden="1"/>
    <cellStyle name="Hyperlink" xfId="1356" builtinId="8" hidden="1"/>
    <cellStyle name="Hyperlink" xfId="1358" builtinId="8" hidden="1"/>
    <cellStyle name="Hyperlink" xfId="1360" builtinId="8" hidden="1"/>
    <cellStyle name="Hyperlink" xfId="1362" builtinId="8" hidden="1"/>
    <cellStyle name="Hyperlink" xfId="1364" builtinId="8" hidden="1"/>
    <cellStyle name="Hyperlink" xfId="1366" builtinId="8" hidden="1"/>
    <cellStyle name="Hyperlink" xfId="1368" builtinId="8" hidden="1"/>
    <cellStyle name="Hyperlink" xfId="1370" builtinId="8" hidden="1"/>
    <cellStyle name="Hyperlink" xfId="1372" builtinId="8" hidden="1"/>
    <cellStyle name="Hyperlink" xfId="1374" builtinId="8" hidden="1"/>
    <cellStyle name="Hyperlink" xfId="1376" builtinId="8" hidden="1"/>
    <cellStyle name="Hyperlink" xfId="1378" builtinId="8" hidden="1"/>
    <cellStyle name="Hyperlink" xfId="1380" builtinId="8" hidden="1"/>
    <cellStyle name="Hyperlink" xfId="1382" builtinId="8" hidden="1"/>
    <cellStyle name="Hyperlink" xfId="1384" builtinId="8" hidden="1"/>
    <cellStyle name="Hyperlink" xfId="1386" builtinId="8" hidden="1"/>
    <cellStyle name="Hyperlink" xfId="1388" builtinId="8" hidden="1"/>
    <cellStyle name="Hyperlink" xfId="1390" builtinId="8" hidden="1"/>
    <cellStyle name="Hyperlink" xfId="1392" builtinId="8" hidden="1"/>
    <cellStyle name="Hyperlink" xfId="1394" builtinId="8" hidden="1"/>
    <cellStyle name="Hyperlink" xfId="1396" builtinId="8" hidden="1"/>
    <cellStyle name="Hyperlink" xfId="1398" builtinId="8" hidden="1"/>
    <cellStyle name="Hyperlink" xfId="1400" builtinId="8" hidden="1"/>
    <cellStyle name="Hyperlink" xfId="1402" builtinId="8" hidden="1"/>
    <cellStyle name="Hyperlink" xfId="1404" builtinId="8" hidden="1"/>
    <cellStyle name="Hyperlink" xfId="1406" builtinId="8" hidden="1"/>
    <cellStyle name="Hyperlink" xfId="1408" builtinId="8" hidden="1"/>
    <cellStyle name="Hyperlink" xfId="1410" builtinId="8" hidden="1"/>
    <cellStyle name="Hyperlink" xfId="1412" builtinId="8" hidden="1"/>
    <cellStyle name="Hyperlink" xfId="1414" builtinId="8" hidden="1"/>
    <cellStyle name="Hyperlink" xfId="1416" builtinId="8" hidden="1"/>
    <cellStyle name="Hyperlink" xfId="1418" builtinId="8" hidden="1"/>
    <cellStyle name="Hyperlink" xfId="1420" builtinId="8" hidden="1"/>
    <cellStyle name="Hyperlink" xfId="1422" builtinId="8" hidden="1"/>
    <cellStyle name="Hyperlink" xfId="1424" builtinId="8" hidden="1"/>
    <cellStyle name="Hyperlink" xfId="1426" builtinId="8" hidden="1"/>
    <cellStyle name="Hyperlink" xfId="1428" builtinId="8" hidden="1"/>
    <cellStyle name="Hyperlink" xfId="1430" builtinId="8" hidden="1"/>
    <cellStyle name="Hyperlink" xfId="1432" builtinId="8" hidden="1"/>
    <cellStyle name="Hyperlink" xfId="1434" builtinId="8" hidden="1"/>
    <cellStyle name="Hyperlink" xfId="1436" builtinId="8" hidden="1"/>
    <cellStyle name="Hyperlink" xfId="1438" builtinId="8" hidden="1"/>
    <cellStyle name="Hyperlink" xfId="1440" builtinId="8" hidden="1"/>
    <cellStyle name="Hyperlink" xfId="1442" builtinId="8" hidden="1"/>
    <cellStyle name="Hyperlink" xfId="1444" builtinId="8" hidden="1"/>
    <cellStyle name="Hyperlink" xfId="1446" builtinId="8" hidden="1"/>
    <cellStyle name="Hyperlink" xfId="1448" builtinId="8" hidden="1"/>
    <cellStyle name="Hyperlink" xfId="1450" builtinId="8" hidden="1"/>
    <cellStyle name="Hyperlink" xfId="1452" builtinId="8" hidden="1"/>
    <cellStyle name="Hyperlink" xfId="1454" builtinId="8" hidden="1"/>
    <cellStyle name="Hyperlink" xfId="1456" builtinId="8" hidden="1"/>
    <cellStyle name="Hyperlink" xfId="1458" builtinId="8" hidden="1"/>
    <cellStyle name="Hyperlink" xfId="1460" builtinId="8" hidden="1"/>
    <cellStyle name="Hyperlink" xfId="1462" builtinId="8" hidden="1"/>
    <cellStyle name="Hyperlink" xfId="1464" builtinId="8" hidden="1"/>
    <cellStyle name="Hyperlink" xfId="1466" builtinId="8" hidden="1"/>
    <cellStyle name="Hyperlink" xfId="1468" builtinId="8" hidden="1"/>
    <cellStyle name="Hyperlink" xfId="1470" builtinId="8" hidden="1"/>
    <cellStyle name="Hyperlink" xfId="1472" builtinId="8" hidden="1"/>
    <cellStyle name="Hyperlink" xfId="1474" builtinId="8" hidden="1"/>
    <cellStyle name="Hyperlink" xfId="1476" builtinId="8" hidden="1"/>
    <cellStyle name="Hyperlink" xfId="1478" builtinId="8" hidden="1"/>
    <cellStyle name="Hyperlink" xfId="1480" builtinId="8" hidden="1"/>
    <cellStyle name="Hyperlink" xfId="1482" builtinId="8" hidden="1"/>
    <cellStyle name="Hyperlink" xfId="1484" builtinId="8" hidden="1"/>
    <cellStyle name="Hyperlink" xfId="1486" builtinId="8" hidden="1"/>
    <cellStyle name="Hyperlink" xfId="1488" builtinId="8" hidden="1"/>
    <cellStyle name="Hyperlink" xfId="1490" builtinId="8" hidden="1"/>
    <cellStyle name="Hyperlink" xfId="1492" builtinId="8" hidden="1"/>
    <cellStyle name="Hyperlink" xfId="1494" builtinId="8" hidden="1"/>
    <cellStyle name="Hyperlink" xfId="1496" builtinId="8" hidden="1"/>
    <cellStyle name="Hyperlink" xfId="1498" builtinId="8" hidden="1"/>
    <cellStyle name="Hyperlink" xfId="1500" builtinId="8" hidden="1"/>
    <cellStyle name="Hyperlink" xfId="1502" builtinId="8" hidden="1"/>
    <cellStyle name="Hyperlink" xfId="1504" builtinId="8" hidden="1"/>
    <cellStyle name="Hyperlink" xfId="1506" builtinId="8" hidden="1"/>
    <cellStyle name="Hyperlink" xfId="1508" builtinId="8" hidden="1"/>
    <cellStyle name="Hyperlink" xfId="1510" builtinId="8" hidden="1"/>
    <cellStyle name="Hyperlink" xfId="1512" builtinId="8" hidden="1"/>
    <cellStyle name="Hyperlink" xfId="1514" builtinId="8" hidden="1"/>
    <cellStyle name="Hyperlink" xfId="1516" builtinId="8" hidden="1"/>
    <cellStyle name="Hyperlink" xfId="1518" builtinId="8" hidden="1"/>
    <cellStyle name="Hyperlink" xfId="1520" builtinId="8" hidden="1"/>
    <cellStyle name="Hyperlink" xfId="1522" builtinId="8" hidden="1"/>
    <cellStyle name="Hyperlink" xfId="1524" builtinId="8" hidden="1"/>
    <cellStyle name="Hyperlink" xfId="1526" builtinId="8" hidden="1"/>
    <cellStyle name="Hyperlink" xfId="1528" builtinId="8" hidden="1"/>
    <cellStyle name="Hyperlink" xfId="1530" builtinId="8" hidden="1"/>
    <cellStyle name="Hyperlink" xfId="1532" builtinId="8" hidden="1"/>
    <cellStyle name="Hyperlink" xfId="1534" builtinId="8" hidden="1"/>
    <cellStyle name="Hyperlink" xfId="1536" builtinId="8" hidden="1"/>
    <cellStyle name="Hyperlink" xfId="1538" builtinId="8" hidden="1"/>
    <cellStyle name="Hyperlink" xfId="1540" builtinId="8" hidden="1"/>
    <cellStyle name="Hyperlink" xfId="1542" builtinId="8" hidden="1"/>
    <cellStyle name="Hyperlink" xfId="1544" builtinId="8" hidden="1"/>
    <cellStyle name="Hyperlink" xfId="1546" builtinId="8" hidden="1"/>
    <cellStyle name="Hyperlink" xfId="1548" builtinId="8" hidden="1"/>
    <cellStyle name="Hyperlink" xfId="1550" builtinId="8" hidden="1"/>
    <cellStyle name="Hyperlink" xfId="1552" builtinId="8" hidden="1"/>
    <cellStyle name="Hyperlink" xfId="1554" builtinId="8" hidden="1"/>
    <cellStyle name="Hyperlink" xfId="1556" builtinId="8" hidden="1"/>
    <cellStyle name="Hyperlink" xfId="1558" builtinId="8" hidden="1"/>
    <cellStyle name="Hyperlink" xfId="1560" builtinId="8" hidden="1"/>
    <cellStyle name="Hyperlink" xfId="1562" builtinId="8" hidden="1"/>
    <cellStyle name="Hyperlink" xfId="1564" builtinId="8" hidden="1"/>
    <cellStyle name="Hyperlink" xfId="1566" builtinId="8" hidden="1"/>
    <cellStyle name="Hyperlink" xfId="1568" builtinId="8" hidden="1"/>
    <cellStyle name="Hyperlink" xfId="1570" builtinId="8" hidden="1"/>
    <cellStyle name="Hyperlink" xfId="1572" builtinId="8" hidden="1"/>
    <cellStyle name="Hyperlink" xfId="1574" builtinId="8" hidden="1"/>
    <cellStyle name="Hyperlink" xfId="1576" builtinId="8" hidden="1"/>
    <cellStyle name="Hyperlink" xfId="1578" builtinId="8" hidden="1"/>
    <cellStyle name="Hyperlink" xfId="1580" builtinId="8" hidden="1"/>
    <cellStyle name="Hyperlink" xfId="1582" builtinId="8" hidden="1"/>
    <cellStyle name="Hyperlink" xfId="1584" builtinId="8" hidden="1"/>
    <cellStyle name="Hyperlink" xfId="1586" builtinId="8" hidden="1"/>
    <cellStyle name="Hyperlink" xfId="1588" builtinId="8" hidden="1"/>
    <cellStyle name="Hyperlink" xfId="1590" builtinId="8" hidden="1"/>
    <cellStyle name="Hyperlink" xfId="1592" builtinId="8" hidden="1"/>
    <cellStyle name="Hyperlink" xfId="1594" builtinId="8" hidden="1"/>
    <cellStyle name="Hyperlink" xfId="1596" builtinId="8" hidden="1"/>
    <cellStyle name="Hyperlink" xfId="1598" builtinId="8" hidden="1"/>
    <cellStyle name="Hyperlink" xfId="1600" builtinId="8" hidden="1"/>
    <cellStyle name="Hyperlink" xfId="1602" builtinId="8" hidden="1"/>
    <cellStyle name="Hyperlink" xfId="1604" builtinId="8" hidden="1"/>
    <cellStyle name="Hyperlink" xfId="1606" builtinId="8" hidden="1"/>
    <cellStyle name="Hyperlink" xfId="1608" builtinId="8" hidden="1"/>
    <cellStyle name="Hyperlink" xfId="1610" builtinId="8" hidden="1"/>
    <cellStyle name="Hyperlink" xfId="1612" builtinId="8" hidden="1"/>
    <cellStyle name="Hyperlink" xfId="1614" builtinId="8" hidden="1"/>
    <cellStyle name="Hyperlink" xfId="1616" builtinId="8" hidden="1"/>
    <cellStyle name="Hyperlink" xfId="1618" builtinId="8" hidden="1"/>
    <cellStyle name="Hyperlink" xfId="1620" builtinId="8" hidden="1"/>
    <cellStyle name="Hyperlink" xfId="1622" builtinId="8" hidden="1"/>
    <cellStyle name="Hyperlink" xfId="1624" builtinId="8" hidden="1"/>
    <cellStyle name="Hyperlink" xfId="1626" builtinId="8" hidden="1"/>
    <cellStyle name="Hyperlink" xfId="1628" builtinId="8" hidden="1"/>
    <cellStyle name="Hyperlink" xfId="1630" builtinId="8" hidden="1"/>
    <cellStyle name="Hyperlink" xfId="1632" builtinId="8" hidden="1"/>
    <cellStyle name="Hyperlink" xfId="1634" builtinId="8" hidden="1"/>
    <cellStyle name="Hyperlink" xfId="1636" builtinId="8" hidden="1"/>
    <cellStyle name="Hyperlink" xfId="1638" builtinId="8" hidden="1"/>
    <cellStyle name="Hyperlink" xfId="1640" builtinId="8" hidden="1"/>
    <cellStyle name="Hyperlink" xfId="1642" builtinId="8" hidden="1"/>
    <cellStyle name="Hyperlink" xfId="1644" builtinId="8" hidden="1"/>
    <cellStyle name="Hyperlink" xfId="1646" builtinId="8" hidden="1"/>
    <cellStyle name="Hyperlink" xfId="1648" builtinId="8" hidden="1"/>
    <cellStyle name="Hyperlink" xfId="1650" builtinId="8" hidden="1"/>
    <cellStyle name="Hyperlink" xfId="1652" builtinId="8" hidden="1"/>
    <cellStyle name="Hyperlink" xfId="1654" builtinId="8" hidden="1"/>
    <cellStyle name="Hyperlink" xfId="1656" builtinId="8" hidden="1"/>
    <cellStyle name="Hyperlink" xfId="1658" builtinId="8" hidden="1"/>
    <cellStyle name="Hyperlink" xfId="1660" builtinId="8" hidden="1"/>
    <cellStyle name="Hyperlink" xfId="1662" builtinId="8" hidden="1"/>
    <cellStyle name="Hyperlink" xfId="1664" builtinId="8" hidden="1"/>
    <cellStyle name="Hyperlink" xfId="1666" builtinId="8" hidden="1"/>
    <cellStyle name="Hyperlink" xfId="1668" builtinId="8" hidden="1"/>
    <cellStyle name="Hyperlink" xfId="1670" builtinId="8" hidden="1"/>
    <cellStyle name="Hyperlink" xfId="1672" builtinId="8" hidden="1"/>
    <cellStyle name="Hyperlink" xfId="1674" builtinId="8" hidden="1"/>
    <cellStyle name="Hyperlink" xfId="1676" builtinId="8" hidden="1"/>
    <cellStyle name="Hyperlink" xfId="1678" builtinId="8" hidden="1"/>
    <cellStyle name="Hyperlink" xfId="1680" builtinId="8" hidden="1"/>
    <cellStyle name="Hyperlink" xfId="1682" builtinId="8" hidden="1"/>
    <cellStyle name="Hyperlink" xfId="1684" builtinId="8" hidden="1"/>
    <cellStyle name="Hyperlink" xfId="1686" builtinId="8" hidden="1"/>
    <cellStyle name="Hyperlink" xfId="1688" builtinId="8" hidden="1"/>
    <cellStyle name="Hyperlink" xfId="1690" builtinId="8" hidden="1"/>
    <cellStyle name="Hyperlink" xfId="1692" builtinId="8" hidden="1"/>
    <cellStyle name="Hyperlink" xfId="1694" builtinId="8" hidden="1"/>
    <cellStyle name="Hyperlink" xfId="1696" builtinId="8" hidden="1"/>
    <cellStyle name="Hyperlink" xfId="1698" builtinId="8" hidden="1"/>
    <cellStyle name="Hyperlink" xfId="1700" builtinId="8" hidden="1"/>
    <cellStyle name="Hyperlink" xfId="1702" builtinId="8" hidden="1"/>
    <cellStyle name="Hyperlink" xfId="1704" builtinId="8" hidden="1"/>
    <cellStyle name="Hyperlink" xfId="1706" builtinId="8" hidden="1"/>
    <cellStyle name="Hyperlink" xfId="1708" builtinId="8" hidden="1"/>
    <cellStyle name="Hyperlink" xfId="1710" builtinId="8" hidden="1"/>
    <cellStyle name="Hyperlink" xfId="1712" builtinId="8" hidden="1"/>
    <cellStyle name="Hyperlink" xfId="1714" builtinId="8" hidden="1"/>
    <cellStyle name="Hyperlink" xfId="1716" builtinId="8" hidden="1"/>
    <cellStyle name="Hyperlink" xfId="1718" builtinId="8" hidden="1"/>
    <cellStyle name="Hyperlink" xfId="1720" builtinId="8" hidden="1"/>
    <cellStyle name="Hyperlink" xfId="1722" builtinId="8" hidden="1"/>
    <cellStyle name="Hyperlink" xfId="1724" builtinId="8" hidden="1"/>
    <cellStyle name="Hyperlink" xfId="1726" builtinId="8" hidden="1"/>
    <cellStyle name="Hyperlink" xfId="1728" builtinId="8" hidden="1"/>
    <cellStyle name="Hyperlink" xfId="1730" builtinId="8" hidden="1"/>
    <cellStyle name="Hyperlink" xfId="1732" builtinId="8" hidden="1"/>
    <cellStyle name="Hyperlink" xfId="1734" builtinId="8" hidden="1"/>
    <cellStyle name="Hyperlink" xfId="1736" builtinId="8" hidden="1"/>
    <cellStyle name="Hyperlink" xfId="1738" builtinId="8" hidden="1"/>
    <cellStyle name="Hyperlink" xfId="1740" builtinId="8" hidden="1"/>
    <cellStyle name="Hyperlink" xfId="1742" builtinId="8" hidden="1"/>
    <cellStyle name="Hyperlink" xfId="1744" builtinId="8" hidden="1"/>
    <cellStyle name="Hyperlink" xfId="1746" builtinId="8" hidden="1"/>
    <cellStyle name="Hyperlink" xfId="1748" builtinId="8" hidden="1"/>
    <cellStyle name="Hyperlink" xfId="1750" builtinId="8" hidden="1"/>
    <cellStyle name="Hyperlink" xfId="1752" builtinId="8" hidden="1"/>
    <cellStyle name="Hyperlink" xfId="1754" builtinId="8" hidden="1"/>
    <cellStyle name="Hyperlink" xfId="1756" builtinId="8" hidden="1"/>
    <cellStyle name="Hyperlink" xfId="1758" builtinId="8" hidden="1"/>
    <cellStyle name="Hyperlink" xfId="1760" builtinId="8" hidden="1"/>
    <cellStyle name="Hyperlink" xfId="1762" builtinId="8" hidden="1"/>
    <cellStyle name="Hyperlink" xfId="1764" builtinId="8" hidden="1"/>
    <cellStyle name="Hyperlink" xfId="1766" builtinId="8" hidden="1"/>
    <cellStyle name="Hyperlink" xfId="1768" builtinId="8" hidden="1"/>
    <cellStyle name="Hyperlink" xfId="1770" builtinId="8" hidden="1"/>
    <cellStyle name="Hyperlink" xfId="1772" builtinId="8" hidden="1"/>
    <cellStyle name="Hyperlink" xfId="1774" builtinId="8" hidden="1"/>
    <cellStyle name="Hyperlink" xfId="1776" builtinId="8" hidden="1"/>
    <cellStyle name="Hyperlink" xfId="1778" builtinId="8" hidden="1"/>
    <cellStyle name="Hyperlink" xfId="1780" builtinId="8" hidden="1"/>
    <cellStyle name="Hyperlink" xfId="1782" builtinId="8" hidden="1"/>
    <cellStyle name="Hyperlink" xfId="1784" builtinId="8" hidden="1"/>
    <cellStyle name="Hyperlink" xfId="1786" builtinId="8" hidden="1"/>
    <cellStyle name="Hyperlink" xfId="1788" builtinId="8" hidden="1"/>
    <cellStyle name="Hyperlink" xfId="1790" builtinId="8" hidden="1"/>
    <cellStyle name="Hyperlink" xfId="1792" builtinId="8" hidden="1"/>
    <cellStyle name="Hyperlink" xfId="1794" builtinId="8" hidden="1"/>
    <cellStyle name="Hyperlink" xfId="1796" builtinId="8" hidden="1"/>
    <cellStyle name="Hyperlink" xfId="1798" builtinId="8" hidden="1"/>
    <cellStyle name="Hyperlink" xfId="1800" builtinId="8" hidden="1"/>
    <cellStyle name="Hyperlink" xfId="1802" builtinId="8" hidden="1"/>
    <cellStyle name="Hyperlink" xfId="1804" builtinId="8" hidden="1"/>
    <cellStyle name="Hyperlink" xfId="1806" builtinId="8" hidden="1"/>
    <cellStyle name="Hyperlink" xfId="1808" builtinId="8" hidden="1"/>
    <cellStyle name="Hyperlink" xfId="1810" builtinId="8" hidden="1"/>
    <cellStyle name="Hyperlink" xfId="1812" builtinId="8" hidden="1"/>
    <cellStyle name="Hyperlink" xfId="1814" builtinId="8" hidden="1"/>
    <cellStyle name="Hyperlink" xfId="1816" builtinId="8" hidden="1"/>
    <cellStyle name="Hyperlink" xfId="1818" builtinId="8" hidden="1"/>
    <cellStyle name="Hyperlink" xfId="1820" builtinId="8" hidden="1"/>
    <cellStyle name="Hyperlink" xfId="1822" builtinId="8" hidden="1"/>
    <cellStyle name="Hyperlink" xfId="1824" builtinId="8" hidden="1"/>
    <cellStyle name="Hyperlink" xfId="1826" builtinId="8" hidden="1"/>
    <cellStyle name="Hyperlink" xfId="1828" builtinId="8" hidden="1"/>
    <cellStyle name="Hyperlink" xfId="1830" builtinId="8" hidden="1"/>
    <cellStyle name="Hyperlink" xfId="1832" builtinId="8" hidden="1"/>
    <cellStyle name="Hyperlink" xfId="1834" builtinId="8" hidden="1"/>
    <cellStyle name="Hyperlink" xfId="1836" builtinId="8" hidden="1"/>
    <cellStyle name="Hyperlink" xfId="1838" builtinId="8" hidden="1"/>
    <cellStyle name="Hyperlink" xfId="1840" builtinId="8" hidden="1"/>
    <cellStyle name="Hyperlink" xfId="1842" builtinId="8" hidden="1"/>
    <cellStyle name="Hyperlink" xfId="1844" builtinId="8" hidden="1"/>
    <cellStyle name="Hyperlink" xfId="1846" builtinId="8" hidden="1"/>
    <cellStyle name="Hyperlink" xfId="1848" builtinId="8" hidden="1"/>
    <cellStyle name="Hyperlink" xfId="1850" builtinId="8" hidden="1"/>
    <cellStyle name="Hyperlink" xfId="1852" builtinId="8" hidden="1"/>
    <cellStyle name="Hyperlink" xfId="1854" builtinId="8" hidden="1"/>
    <cellStyle name="Hyperlink" xfId="1856" builtinId="8" hidden="1"/>
    <cellStyle name="Hyperlink" xfId="1858" builtinId="8" hidden="1"/>
    <cellStyle name="Hyperlink" xfId="1860" builtinId="8" hidden="1"/>
    <cellStyle name="Hyperlink" xfId="1862" builtinId="8" hidden="1"/>
    <cellStyle name="Hyperlink" xfId="1864" builtinId="8" hidden="1"/>
    <cellStyle name="Hyperlink" xfId="1866" builtinId="8" hidden="1"/>
    <cellStyle name="Hyperlink" xfId="1868" builtinId="8" hidden="1"/>
    <cellStyle name="Hyperlink" xfId="1870" builtinId="8" hidden="1"/>
    <cellStyle name="Hyperlink" xfId="1872" builtinId="8" hidden="1"/>
    <cellStyle name="Hyperlink" xfId="1874" builtinId="8" hidden="1"/>
    <cellStyle name="Hyperlink" xfId="1876" builtinId="8" hidden="1"/>
    <cellStyle name="Hyperlink" xfId="1878" builtinId="8" hidden="1"/>
    <cellStyle name="Hyperlink" xfId="1880" builtinId="8" hidden="1"/>
    <cellStyle name="Hyperlink" xfId="1882" builtinId="8" hidden="1"/>
    <cellStyle name="Hyperlink" xfId="1884" builtinId="8" hidden="1"/>
    <cellStyle name="Hyperlink" xfId="1886" builtinId="8" hidden="1"/>
    <cellStyle name="Hyperlink" xfId="1888" builtinId="8" hidden="1"/>
    <cellStyle name="Hyperlink" xfId="1890" builtinId="8" hidden="1"/>
    <cellStyle name="Hyperlink" xfId="1892" builtinId="8" hidden="1"/>
    <cellStyle name="Hyperlink" xfId="1894" builtinId="8" hidden="1"/>
    <cellStyle name="Hyperlink" xfId="1896" builtinId="8" hidden="1"/>
    <cellStyle name="Hyperlink" xfId="1898" builtinId="8" hidden="1"/>
    <cellStyle name="Hyperlink" xfId="1900" builtinId="8" hidden="1"/>
    <cellStyle name="Hyperlink" xfId="1902" builtinId="8" hidden="1"/>
    <cellStyle name="Hyperlink" xfId="1904" builtinId="8" hidden="1"/>
    <cellStyle name="Hyperlink" xfId="1906" builtinId="8" hidden="1"/>
    <cellStyle name="Hyperlink" xfId="1908" builtinId="8" hidden="1"/>
    <cellStyle name="Hyperlink" xfId="1910" builtinId="8" hidden="1"/>
    <cellStyle name="Hyperlink" xfId="1912" builtinId="8" hidden="1"/>
    <cellStyle name="Hyperlink" xfId="1914" builtinId="8" hidden="1"/>
    <cellStyle name="Hyperlink" xfId="1916" builtinId="8" hidden="1"/>
    <cellStyle name="Hyperlink" xfId="1918" builtinId="8" hidden="1"/>
    <cellStyle name="Hyperlink" xfId="1920" builtinId="8" hidden="1"/>
    <cellStyle name="Hyperlink" xfId="1922" builtinId="8" hidden="1"/>
    <cellStyle name="Hyperlink" xfId="1924" builtinId="8" hidden="1"/>
    <cellStyle name="Hyperlink" xfId="1926" builtinId="8" hidden="1"/>
    <cellStyle name="Hyperlink" xfId="1928" builtinId="8" hidden="1"/>
    <cellStyle name="Hyperlink" xfId="1930" builtinId="8" hidden="1"/>
    <cellStyle name="Hyperlink" xfId="1932" builtinId="8" hidden="1"/>
    <cellStyle name="Hyperlink" xfId="1934" builtinId="8" hidden="1"/>
    <cellStyle name="Hyperlink" xfId="1936" builtinId="8" hidden="1"/>
    <cellStyle name="Hyperlink" xfId="1938" builtinId="8" hidden="1"/>
    <cellStyle name="Hyperlink" xfId="1940" builtinId="8" hidden="1"/>
    <cellStyle name="Hyperlink" xfId="1942" builtinId="8" hidden="1"/>
    <cellStyle name="Hyperlink" xfId="1944" builtinId="8" hidden="1"/>
    <cellStyle name="Hyperlink" xfId="1946" builtinId="8" hidden="1"/>
    <cellStyle name="Hyperlink" xfId="1948" builtinId="8" hidden="1"/>
    <cellStyle name="Hyperlink" xfId="1950" builtinId="8" hidden="1"/>
    <cellStyle name="Hyperlink" xfId="1952" builtinId="8" hidden="1"/>
    <cellStyle name="Hyperlink" xfId="1954" builtinId="8" hidden="1"/>
    <cellStyle name="Hyperlink" xfId="1956" builtinId="8" hidden="1"/>
    <cellStyle name="Hyperlink" xfId="1958" builtinId="8" hidden="1"/>
    <cellStyle name="Hyperlink" xfId="1960" builtinId="8" hidden="1"/>
    <cellStyle name="Hyperlink" xfId="1962" builtinId="8" hidden="1"/>
    <cellStyle name="Hyperlink" xfId="1964" builtinId="8" hidden="1"/>
    <cellStyle name="Hyperlink" xfId="1966" builtinId="8" hidden="1"/>
    <cellStyle name="Hyperlink" xfId="1968" builtinId="8" hidden="1"/>
    <cellStyle name="Hyperlink" xfId="1970" builtinId="8" hidden="1"/>
    <cellStyle name="Hyperlink" xfId="1972" builtinId="8" hidden="1"/>
    <cellStyle name="Hyperlink" xfId="1974" builtinId="8" hidden="1"/>
    <cellStyle name="Hyperlink" xfId="1976" builtinId="8" hidden="1"/>
    <cellStyle name="Hyperlink" xfId="1978" builtinId="8" hidden="1"/>
    <cellStyle name="Hyperlink" xfId="1980" builtinId="8" hidden="1"/>
    <cellStyle name="Hyperlink" xfId="1982" builtinId="8" hidden="1"/>
    <cellStyle name="Hyperlink" xfId="1984" builtinId="8" hidden="1"/>
    <cellStyle name="Hyperlink" xfId="1986" builtinId="8" hidden="1"/>
    <cellStyle name="Hyperlink" xfId="1988" builtinId="8" hidden="1"/>
    <cellStyle name="Hyperlink" xfId="1990" builtinId="8" hidden="1"/>
    <cellStyle name="Hyperlink" xfId="1992" builtinId="8" hidden="1"/>
    <cellStyle name="Hyperlink" xfId="1994" builtinId="8" hidden="1"/>
    <cellStyle name="Hyperlink" xfId="1996" builtinId="8" hidden="1"/>
    <cellStyle name="Hyperlink" xfId="1998" builtinId="8" hidden="1"/>
    <cellStyle name="Hyperlink" xfId="2000" builtinId="8" hidden="1"/>
    <cellStyle name="Hyperlink" xfId="2002" builtinId="8" hidden="1"/>
    <cellStyle name="Hyperlink" xfId="2004" builtinId="8" hidden="1"/>
    <cellStyle name="Hyperlink" xfId="2006" builtinId="8" hidden="1"/>
    <cellStyle name="Hyperlink" xfId="2008" builtinId="8" hidden="1"/>
    <cellStyle name="Hyperlink" xfId="2010" builtinId="8" hidden="1"/>
    <cellStyle name="Hyperlink" xfId="2012" builtinId="8" hidden="1"/>
    <cellStyle name="Hyperlink" xfId="2014" builtinId="8" hidden="1"/>
    <cellStyle name="Hyperlink" xfId="2016" builtinId="8" hidden="1"/>
    <cellStyle name="Hyperlink" xfId="2018" builtinId="8" hidden="1"/>
    <cellStyle name="Hyperlink" xfId="2020" builtinId="8" hidden="1"/>
    <cellStyle name="Hyperlink" xfId="2022" builtinId="8" hidden="1"/>
    <cellStyle name="Hyperlink" xfId="2024" builtinId="8" hidden="1"/>
    <cellStyle name="Hyperlink" xfId="2026" builtinId="8" hidden="1"/>
    <cellStyle name="Hyperlink" xfId="2028" builtinId="8" hidden="1"/>
    <cellStyle name="Hyperlink" xfId="2030" builtinId="8" hidden="1"/>
    <cellStyle name="Hyperlink" xfId="2032" builtinId="8" hidden="1"/>
    <cellStyle name="Hyperlink" xfId="2034" builtinId="8" hidden="1"/>
    <cellStyle name="Hyperlink" xfId="2036" builtinId="8" hidden="1"/>
    <cellStyle name="Hyperlink" xfId="2038" builtinId="8" hidden="1"/>
    <cellStyle name="Hyperlink" xfId="2040" builtinId="8" hidden="1"/>
    <cellStyle name="Hyperlink" xfId="2042" builtinId="8" hidden="1"/>
    <cellStyle name="Hyperlink" xfId="2044" builtinId="8" hidden="1"/>
    <cellStyle name="Hyperlink" xfId="2046" builtinId="8" hidden="1"/>
    <cellStyle name="Hyperlink" xfId="2048" builtinId="8" hidden="1"/>
    <cellStyle name="Hyperlink" xfId="2050" builtinId="8" hidden="1"/>
    <cellStyle name="Hyperlink" xfId="2052" builtinId="8" hidden="1"/>
    <cellStyle name="Hyperlink" xfId="2054" builtinId="8" hidden="1"/>
    <cellStyle name="Hyperlink" xfId="2056" builtinId="8" hidden="1"/>
    <cellStyle name="Hyperlink" xfId="2058" builtinId="8" hidden="1"/>
    <cellStyle name="Hyperlink" xfId="2060" builtinId="8" hidden="1"/>
    <cellStyle name="Hyperlink" xfId="2062" builtinId="8" hidden="1"/>
    <cellStyle name="Hyperlink" xfId="2064" builtinId="8" hidden="1"/>
    <cellStyle name="Hyperlink" xfId="2066" builtinId="8" hidden="1"/>
    <cellStyle name="Hyperlink" xfId="2068" builtinId="8" hidden="1"/>
    <cellStyle name="Hyperlink" xfId="2070" builtinId="8" hidden="1"/>
    <cellStyle name="Hyperlink" xfId="2072" builtinId="8" hidden="1"/>
    <cellStyle name="Hyperlink" xfId="2074" builtinId="8" hidden="1"/>
    <cellStyle name="Hyperlink" xfId="2076" builtinId="8" hidden="1"/>
    <cellStyle name="Hyperlink" xfId="2078" builtinId="8" hidden="1"/>
    <cellStyle name="Hyperlink" xfId="2080" builtinId="8" hidden="1"/>
    <cellStyle name="Hyperlink" xfId="2082" builtinId="8" hidden="1"/>
    <cellStyle name="Hyperlink" xfId="2084" builtinId="8" hidden="1"/>
    <cellStyle name="Hyperlink" xfId="2086" builtinId="8" hidden="1"/>
    <cellStyle name="Hyperlink" xfId="2088" builtinId="8" hidden="1"/>
    <cellStyle name="Hyperlink" xfId="2090" builtinId="8" hidden="1"/>
    <cellStyle name="Hyperlink" xfId="2092" builtinId="8" hidden="1"/>
    <cellStyle name="Hyperlink" xfId="2094" builtinId="8" hidden="1"/>
    <cellStyle name="Hyperlink" xfId="2096" builtinId="8" hidden="1"/>
    <cellStyle name="Hyperlink" xfId="2098" builtinId="8" hidden="1"/>
    <cellStyle name="Hyperlink" xfId="2100" builtinId="8" hidden="1"/>
    <cellStyle name="Hyperlink" xfId="2102" builtinId="8" hidden="1"/>
    <cellStyle name="Hyperlink" xfId="2104" builtinId="8" hidden="1"/>
    <cellStyle name="Hyperlink" xfId="2106" builtinId="8" hidden="1"/>
    <cellStyle name="Hyperlink" xfId="2108" builtinId="8" hidden="1"/>
    <cellStyle name="Hyperlink" xfId="2110" builtinId="8" hidden="1"/>
    <cellStyle name="Hyperlink" xfId="2112" builtinId="8" hidden="1"/>
    <cellStyle name="Hyperlink" xfId="2114" builtinId="8" hidden="1"/>
    <cellStyle name="Hyperlink" xfId="2116" builtinId="8" hidden="1"/>
    <cellStyle name="Hyperlink" xfId="2118" builtinId="8" hidden="1"/>
    <cellStyle name="Hyperlink" xfId="2120" builtinId="8" hidden="1"/>
    <cellStyle name="Hyperlink" xfId="2122" builtinId="8" hidden="1"/>
    <cellStyle name="Hyperlink" xfId="2124" builtinId="8" hidden="1"/>
    <cellStyle name="Hyperlink" xfId="2126" builtinId="8" hidden="1"/>
    <cellStyle name="Hyperlink" xfId="2128" builtinId="8" hidden="1"/>
    <cellStyle name="Hyperlink" xfId="2130" builtinId="8" hidden="1"/>
    <cellStyle name="Hyperlink" xfId="2132" builtinId="8" hidden="1"/>
    <cellStyle name="Hyperlink" xfId="2134" builtinId="8" hidden="1"/>
    <cellStyle name="Hyperlink" xfId="2136" builtinId="8" hidden="1"/>
    <cellStyle name="Hyperlink" xfId="2138" builtinId="8" hidden="1"/>
    <cellStyle name="Hyperlink" xfId="2140" builtinId="8" hidden="1"/>
    <cellStyle name="Hyperlink" xfId="2142" builtinId="8" hidden="1"/>
    <cellStyle name="Hyperlink" xfId="2144" builtinId="8" hidden="1"/>
    <cellStyle name="Hyperlink" xfId="2146" builtinId="8" hidden="1"/>
    <cellStyle name="Hyperlink" xfId="2148" builtinId="8" hidden="1"/>
    <cellStyle name="Hyperlink" xfId="2150" builtinId="8" hidden="1"/>
    <cellStyle name="Hyperlink" xfId="2152" builtinId="8" hidden="1"/>
    <cellStyle name="Hyperlink" xfId="2154" builtinId="8" hidden="1"/>
    <cellStyle name="Hyperlink" xfId="2156" builtinId="8" hidden="1"/>
    <cellStyle name="Hyperlink" xfId="2158" builtinId="8" hidden="1"/>
    <cellStyle name="Hyperlink" xfId="2160" builtinId="8" hidden="1"/>
    <cellStyle name="Hyperlink" xfId="2162" builtinId="8" hidden="1"/>
    <cellStyle name="Hyperlink" xfId="2164" builtinId="8" hidden="1"/>
    <cellStyle name="Hyperlink" xfId="2166" builtinId="8" hidden="1"/>
    <cellStyle name="Hyperlink" xfId="2168" builtinId="8" hidden="1"/>
    <cellStyle name="Hyperlink" xfId="2170" builtinId="8" hidden="1"/>
    <cellStyle name="Hyperlink" xfId="2172" builtinId="8" hidden="1"/>
    <cellStyle name="Hyperlink" xfId="2174" builtinId="8" hidden="1"/>
    <cellStyle name="Hyperlink" xfId="2176" builtinId="8" hidden="1"/>
    <cellStyle name="Hyperlink" xfId="2178" builtinId="8" hidden="1"/>
    <cellStyle name="Hyperlink" xfId="2180" builtinId="8" hidden="1"/>
    <cellStyle name="Hyperlink" xfId="2182" builtinId="8" hidden="1"/>
    <cellStyle name="Hyperlink" xfId="2184" builtinId="8" hidden="1"/>
    <cellStyle name="Hyperlink" xfId="2186" builtinId="8" hidden="1"/>
    <cellStyle name="Hyperlink" xfId="2188" builtinId="8" hidden="1"/>
    <cellStyle name="Hyperlink" xfId="2190" builtinId="8" hidden="1"/>
    <cellStyle name="Hyperlink" xfId="2192" builtinId="8" hidden="1"/>
    <cellStyle name="Hyperlink" xfId="2194" builtinId="8" hidden="1"/>
    <cellStyle name="Hyperlink" xfId="2196" builtinId="8" hidden="1"/>
    <cellStyle name="Hyperlink" xfId="2198" builtinId="8" hidden="1"/>
    <cellStyle name="Hyperlink" xfId="2200" builtinId="8" hidden="1"/>
    <cellStyle name="Hyperlink" xfId="2202" builtinId="8" hidden="1"/>
    <cellStyle name="Hyperlink" xfId="2204" builtinId="8" hidden="1"/>
    <cellStyle name="Hyperlink" xfId="2206" builtinId="8" hidden="1"/>
    <cellStyle name="Neutral 2" xfId="2208" xr:uid="{00000000-0005-0000-0000-000098080000}"/>
    <cellStyle name="Normal" xfId="0" builtinId="0"/>
    <cellStyle name="Note 2" xfId="936" xr:uid="{00000000-0005-0000-0000-00009A080000}"/>
    <cellStyle name="Note 2 2" xfId="2209" xr:uid="{00000000-0005-0000-0000-00009B080000}"/>
    <cellStyle name="Note 4 2" xfId="2" xr:uid="{00000000-0005-0000-0000-00009C080000}"/>
    <cellStyle name="Note 4 2 2" xfId="935" xr:uid="{00000000-0005-0000-0000-00009D080000}"/>
    <cellStyle name="Note 4 2 2 2" xfId="2210" xr:uid="{00000000-0005-0000-0000-00009E080000}"/>
    <cellStyle name="Note 4 2 3" xfId="941" xr:uid="{00000000-0005-0000-0000-00009F080000}"/>
    <cellStyle name="Note 5" xfId="1" xr:uid="{00000000-0005-0000-0000-0000A0080000}"/>
    <cellStyle name="Note 5 2" xfId="934" xr:uid="{00000000-0005-0000-0000-0000A1080000}"/>
    <cellStyle name="Note 5 3" xfId="937" xr:uid="{00000000-0005-0000-0000-0000A2080000}"/>
    <cellStyle name="Note 5 3 2" xfId="2211" xr:uid="{00000000-0005-0000-0000-0000A3080000}"/>
    <cellStyle name="Note 5 4" xfId="940" xr:uid="{00000000-0005-0000-0000-0000A4080000}"/>
    <cellStyle name="XLConnect.Header" xfId="926" xr:uid="{00000000-0005-0000-0000-0000A5080000}"/>
    <cellStyle name="XLConnect.Numeric" xfId="927" xr:uid="{00000000-0005-0000-0000-0000A6080000}"/>
  </cellStyles>
  <dxfs count="0"/>
  <tableStyles count="0" defaultTableStyle="TableStyleMedium9" defaultPivotStyle="PivotStyleMedium4"/>
  <colors>
    <mruColors>
      <color rgb="FF5BC583"/>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microsoft.com/office/2017/10/relationships/person" Target="persons/perso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4" Type="http://schemas.openxmlformats.org/officeDocument/2006/relationships/image" Target="../media/image11.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4"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xdr:from>
      <xdr:col>1</xdr:col>
      <xdr:colOff>0</xdr:colOff>
      <xdr:row>55</xdr:row>
      <xdr:rowOff>95249</xdr:rowOff>
    </xdr:from>
    <xdr:to>
      <xdr:col>11</xdr:col>
      <xdr:colOff>0</xdr:colOff>
      <xdr:row>80</xdr:row>
      <xdr:rowOff>85725</xdr:rowOff>
    </xdr:to>
    <xdr:grpSp>
      <xdr:nvGrpSpPr>
        <xdr:cNvPr id="4" name="Group 3">
          <a:extLst>
            <a:ext uri="{FF2B5EF4-FFF2-40B4-BE49-F238E27FC236}">
              <a16:creationId xmlns:a16="http://schemas.microsoft.com/office/drawing/2014/main" id="{00000000-0008-0000-0100-000004000000}"/>
            </a:ext>
          </a:extLst>
        </xdr:cNvPr>
        <xdr:cNvGrpSpPr/>
      </xdr:nvGrpSpPr>
      <xdr:grpSpPr>
        <a:xfrm>
          <a:off x="685800" y="11096624"/>
          <a:ext cx="6858000" cy="4991101"/>
          <a:chOff x="685800" y="1095375"/>
          <a:chExt cx="9705976" cy="7063794"/>
        </a:xfrm>
      </xdr:grpSpPr>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685800" y="1095375"/>
            <a:ext cx="9697046" cy="6161594"/>
          </a:xfrm>
          <a:prstGeom prst="rect">
            <a:avLst/>
          </a:prstGeom>
        </xdr:spPr>
      </xdr:pic>
      <xdr:sp macro="" textlink="">
        <xdr:nvSpPr>
          <xdr:cNvPr id="3" name="TextBox 2">
            <a:extLst>
              <a:ext uri="{FF2B5EF4-FFF2-40B4-BE49-F238E27FC236}">
                <a16:creationId xmlns:a16="http://schemas.microsoft.com/office/drawing/2014/main" id="{00000000-0008-0000-0100-000003000000}"/>
              </a:ext>
            </a:extLst>
          </xdr:cNvPr>
          <xdr:cNvSpPr txBox="1"/>
        </xdr:nvSpPr>
        <xdr:spPr>
          <a:xfrm>
            <a:off x="5495926" y="7029449"/>
            <a:ext cx="4895850" cy="11297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From Fuchs et al. 2018: Management matters: testing a mitigation strategy for nitrous oxide emissions using legumes on intensively managed grassland.</a:t>
            </a:r>
            <a:r>
              <a:rPr lang="en-US" sz="1100" b="1" baseline="0"/>
              <a:t> Biogeosciences, 15, 5519–5543, 2018.</a:t>
            </a:r>
            <a:endParaRPr lang="en-US" sz="1100" b="1"/>
          </a:p>
        </xdr:txBody>
      </xdr:sp>
    </xdr:grpSp>
    <xdr:clientData/>
  </xdr:twoCellAnchor>
  <xdr:twoCellAnchor>
    <xdr:from>
      <xdr:col>1</xdr:col>
      <xdr:colOff>0</xdr:colOff>
      <xdr:row>83</xdr:row>
      <xdr:rowOff>114300</xdr:rowOff>
    </xdr:from>
    <xdr:to>
      <xdr:col>9</xdr:col>
      <xdr:colOff>332598</xdr:colOff>
      <xdr:row>100</xdr:row>
      <xdr:rowOff>1</xdr:rowOff>
    </xdr:to>
    <xdr:grpSp>
      <xdr:nvGrpSpPr>
        <xdr:cNvPr id="5" name="Group 4">
          <a:extLst>
            <a:ext uri="{FF2B5EF4-FFF2-40B4-BE49-F238E27FC236}">
              <a16:creationId xmlns:a16="http://schemas.microsoft.com/office/drawing/2014/main" id="{00000000-0008-0000-0100-000005000000}"/>
            </a:ext>
          </a:extLst>
        </xdr:cNvPr>
        <xdr:cNvGrpSpPr/>
      </xdr:nvGrpSpPr>
      <xdr:grpSpPr>
        <a:xfrm>
          <a:off x="685800" y="16716375"/>
          <a:ext cx="5818998" cy="3286126"/>
          <a:chOff x="5135673" y="266699"/>
          <a:chExt cx="5818998" cy="3286126"/>
        </a:xfrm>
      </xdr:grpSpPr>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135673" y="266699"/>
            <a:ext cx="5818998" cy="3286126"/>
          </a:xfrm>
          <a:prstGeom prst="rect">
            <a:avLst/>
          </a:prstGeom>
        </xdr:spPr>
      </xdr:pic>
      <xdr:sp macro="" textlink="">
        <xdr:nvSpPr>
          <xdr:cNvPr id="7" name="TextBox 6">
            <a:extLst>
              <a:ext uri="{FF2B5EF4-FFF2-40B4-BE49-F238E27FC236}">
                <a16:creationId xmlns:a16="http://schemas.microsoft.com/office/drawing/2014/main" id="{00000000-0008-0000-0100-000007000000}"/>
              </a:ext>
            </a:extLst>
          </xdr:cNvPr>
          <xdr:cNvSpPr txBox="1"/>
        </xdr:nvSpPr>
        <xdr:spPr>
          <a:xfrm>
            <a:off x="7896225" y="733425"/>
            <a:ext cx="276225"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B</a:t>
            </a:r>
          </a:p>
        </xdr:txBody>
      </xdr:sp>
      <xdr:sp macro="" textlink="">
        <xdr:nvSpPr>
          <xdr:cNvPr id="8" name="TextBox 7">
            <a:extLst>
              <a:ext uri="{FF2B5EF4-FFF2-40B4-BE49-F238E27FC236}">
                <a16:creationId xmlns:a16="http://schemas.microsoft.com/office/drawing/2014/main" id="{00000000-0008-0000-0100-000008000000}"/>
              </a:ext>
            </a:extLst>
          </xdr:cNvPr>
          <xdr:cNvSpPr txBox="1"/>
        </xdr:nvSpPr>
        <xdr:spPr>
          <a:xfrm>
            <a:off x="7410450" y="2505075"/>
            <a:ext cx="257175" cy="2571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A</a:t>
            </a:r>
          </a:p>
        </xdr:txBody>
      </xdr:sp>
    </xdr:grpSp>
    <xdr:clientData/>
  </xdr:twoCellAnchor>
  <xdr:twoCellAnchor>
    <xdr:from>
      <xdr:col>1</xdr:col>
      <xdr:colOff>0</xdr:colOff>
      <xdr:row>3</xdr:row>
      <xdr:rowOff>0</xdr:rowOff>
    </xdr:from>
    <xdr:to>
      <xdr:col>9</xdr:col>
      <xdr:colOff>18363</xdr:colOff>
      <xdr:row>50</xdr:row>
      <xdr:rowOff>180545</xdr:rowOff>
    </xdr:to>
    <xdr:grpSp>
      <xdr:nvGrpSpPr>
        <xdr:cNvPr id="17" name="Group 16">
          <a:extLst>
            <a:ext uri="{FF2B5EF4-FFF2-40B4-BE49-F238E27FC236}">
              <a16:creationId xmlns:a16="http://schemas.microsoft.com/office/drawing/2014/main" id="{00000000-0008-0000-0100-000011000000}"/>
            </a:ext>
          </a:extLst>
        </xdr:cNvPr>
        <xdr:cNvGrpSpPr/>
      </xdr:nvGrpSpPr>
      <xdr:grpSpPr>
        <a:xfrm>
          <a:off x="685800" y="600075"/>
          <a:ext cx="5504763" cy="9581720"/>
          <a:chOff x="685800" y="600075"/>
          <a:chExt cx="5504763" cy="9581720"/>
        </a:xfrm>
      </xdr:grpSpPr>
      <xdr:grpSp>
        <xdr:nvGrpSpPr>
          <xdr:cNvPr id="13" name="Group 12">
            <a:extLst>
              <a:ext uri="{FF2B5EF4-FFF2-40B4-BE49-F238E27FC236}">
                <a16:creationId xmlns:a16="http://schemas.microsoft.com/office/drawing/2014/main" id="{00000000-0008-0000-0100-00000D000000}"/>
              </a:ext>
            </a:extLst>
          </xdr:cNvPr>
          <xdr:cNvGrpSpPr/>
        </xdr:nvGrpSpPr>
        <xdr:grpSpPr>
          <a:xfrm>
            <a:off x="685800" y="600075"/>
            <a:ext cx="5504763" cy="9581720"/>
            <a:chOff x="9601200" y="600076"/>
            <a:chExt cx="5504763" cy="9581720"/>
          </a:xfrm>
        </xdr:grpSpPr>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rotWithShape="1">
            <a:blip xmlns:r="http://schemas.openxmlformats.org/officeDocument/2006/relationships" r:embed="rId3"/>
            <a:srcRect b="596"/>
            <a:stretch/>
          </xdr:blipFill>
          <xdr:spPr>
            <a:xfrm>
              <a:off x="9601200" y="600076"/>
              <a:ext cx="5504762" cy="6229350"/>
            </a:xfrm>
            <a:prstGeom prst="rect">
              <a:avLst/>
            </a:prstGeom>
          </xdr:spPr>
        </xdr:pic>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rotWithShape="1">
            <a:blip xmlns:r="http://schemas.openxmlformats.org/officeDocument/2006/relationships" r:embed="rId4"/>
            <a:srcRect t="1111"/>
            <a:stretch/>
          </xdr:blipFill>
          <xdr:spPr>
            <a:xfrm>
              <a:off x="9610725" y="6791325"/>
              <a:ext cx="5495238" cy="3390471"/>
            </a:xfrm>
            <a:prstGeom prst="rect">
              <a:avLst/>
            </a:prstGeom>
          </xdr:spPr>
        </xdr:pic>
      </xdr:grpSp>
      <xdr:sp macro="" textlink="">
        <xdr:nvSpPr>
          <xdr:cNvPr id="16" name="TextBox 15">
            <a:extLst>
              <a:ext uri="{FF2B5EF4-FFF2-40B4-BE49-F238E27FC236}">
                <a16:creationId xmlns:a16="http://schemas.microsoft.com/office/drawing/2014/main" id="{00000000-0008-0000-0100-000010000000}"/>
              </a:ext>
            </a:extLst>
          </xdr:cNvPr>
          <xdr:cNvSpPr txBox="1"/>
        </xdr:nvSpPr>
        <xdr:spPr>
          <a:xfrm>
            <a:off x="3248025" y="4981575"/>
            <a:ext cx="809625" cy="3905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EC station</a:t>
            </a:r>
          </a:p>
        </xdr:txBody>
      </xdr:sp>
    </xdr:grpSp>
    <xdr:clientData/>
  </xdr:twoCellAnchor>
  <xdr:twoCellAnchor>
    <xdr:from>
      <xdr:col>10</xdr:col>
      <xdr:colOff>0</xdr:colOff>
      <xdr:row>3</xdr:row>
      <xdr:rowOff>0</xdr:rowOff>
    </xdr:from>
    <xdr:to>
      <xdr:col>17</xdr:col>
      <xdr:colOff>675592</xdr:colOff>
      <xdr:row>50</xdr:row>
      <xdr:rowOff>180543</xdr:rowOff>
    </xdr:to>
    <xdr:grpSp>
      <xdr:nvGrpSpPr>
        <xdr:cNvPr id="20" name="Group 19">
          <a:extLst>
            <a:ext uri="{FF2B5EF4-FFF2-40B4-BE49-F238E27FC236}">
              <a16:creationId xmlns:a16="http://schemas.microsoft.com/office/drawing/2014/main" id="{00000000-0008-0000-0100-000014000000}"/>
            </a:ext>
          </a:extLst>
        </xdr:cNvPr>
        <xdr:cNvGrpSpPr/>
      </xdr:nvGrpSpPr>
      <xdr:grpSpPr>
        <a:xfrm>
          <a:off x="6858000" y="600075"/>
          <a:ext cx="5476192" cy="9581718"/>
          <a:chOff x="6858000" y="600075"/>
          <a:chExt cx="5476192" cy="9581718"/>
        </a:xfrm>
      </xdr:grpSpPr>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5"/>
          <a:stretch>
            <a:fillRect/>
          </a:stretch>
        </xdr:blipFill>
        <xdr:spPr>
          <a:xfrm>
            <a:off x="6858000" y="600075"/>
            <a:ext cx="5466667" cy="6152381"/>
          </a:xfrm>
          <a:prstGeom prst="rect">
            <a:avLst/>
          </a:prstGeom>
        </xdr:spPr>
      </xdr:pic>
      <xdr:pic>
        <xdr:nvPicPr>
          <xdr:cNvPr id="19" name="Pictur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6"/>
          <a:stretch>
            <a:fillRect/>
          </a:stretch>
        </xdr:blipFill>
        <xdr:spPr>
          <a:xfrm>
            <a:off x="6867525" y="6724650"/>
            <a:ext cx="5466667" cy="3457143"/>
          </a:xfrm>
          <a:prstGeom prst="rect">
            <a:avLst/>
          </a:prstGeom>
        </xdr:spPr>
      </xdr:pic>
    </xdr:grpSp>
    <xdr:clientData/>
  </xdr:twoCellAnchor>
  <xdr:twoCellAnchor editAs="oneCell">
    <xdr:from>
      <xdr:col>1</xdr:col>
      <xdr:colOff>75282</xdr:colOff>
      <xdr:row>110</xdr:row>
      <xdr:rowOff>19049</xdr:rowOff>
    </xdr:from>
    <xdr:to>
      <xdr:col>13</xdr:col>
      <xdr:colOff>398140</xdr:colOff>
      <xdr:row>133</xdr:row>
      <xdr:rowOff>179911</xdr:rowOff>
    </xdr:to>
    <xdr:pic>
      <xdr:nvPicPr>
        <xdr:cNvPr id="9" name="Picture 8">
          <a:extLst>
            <a:ext uri="{FF2B5EF4-FFF2-40B4-BE49-F238E27FC236}">
              <a16:creationId xmlns:a16="http://schemas.microsoft.com/office/drawing/2014/main" id="{A17BD5E6-84EA-415C-A776-F13CF6E244C9}"/>
            </a:ext>
          </a:extLst>
        </xdr:cNvPr>
        <xdr:cNvPicPr>
          <a:picLocks noChangeAspect="1"/>
        </xdr:cNvPicPr>
      </xdr:nvPicPr>
      <xdr:blipFill>
        <a:blip xmlns:r="http://schemas.openxmlformats.org/officeDocument/2006/relationships" r:embed="rId7"/>
        <a:stretch>
          <a:fillRect/>
        </a:stretch>
      </xdr:blipFill>
      <xdr:spPr>
        <a:xfrm>
          <a:off x="761082" y="22021799"/>
          <a:ext cx="8552458" cy="47614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584200</xdr:colOff>
      <xdr:row>44</xdr:row>
      <xdr:rowOff>63500</xdr:rowOff>
    </xdr:from>
    <xdr:to>
      <xdr:col>9</xdr:col>
      <xdr:colOff>1092200</xdr:colOff>
      <xdr:row>61</xdr:row>
      <xdr:rowOff>177800</xdr:rowOff>
    </xdr:to>
    <xdr:pic>
      <xdr:nvPicPr>
        <xdr:cNvPr id="2" name="Picture 1" descr="Screen Shot 2017-10-06 at 10.39.06.png">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168900" y="8737600"/>
          <a:ext cx="3568700" cy="3352800"/>
        </a:xfrm>
        <a:prstGeom prst="rect">
          <a:avLst/>
        </a:prstGeom>
      </xdr:spPr>
    </xdr:pic>
    <xdr:clientData/>
  </xdr:twoCellAnchor>
  <xdr:twoCellAnchor editAs="oneCell">
    <xdr:from>
      <xdr:col>5</xdr:col>
      <xdr:colOff>596900</xdr:colOff>
      <xdr:row>19</xdr:row>
      <xdr:rowOff>101600</xdr:rowOff>
    </xdr:from>
    <xdr:to>
      <xdr:col>9</xdr:col>
      <xdr:colOff>1041400</xdr:colOff>
      <xdr:row>42</xdr:row>
      <xdr:rowOff>139700</xdr:rowOff>
    </xdr:to>
    <xdr:pic>
      <xdr:nvPicPr>
        <xdr:cNvPr id="4" name="Picture 3" descr="Screen Shot 2017-10-06 at 10.41.00.png">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181600" y="3822700"/>
          <a:ext cx="3517900" cy="4419600"/>
        </a:xfrm>
        <a:prstGeom prst="rect">
          <a:avLst/>
        </a:prstGeom>
      </xdr:spPr>
    </xdr:pic>
    <xdr:clientData/>
  </xdr:twoCellAnchor>
  <xdr:twoCellAnchor editAs="oneCell">
    <xdr:from>
      <xdr:col>5</xdr:col>
      <xdr:colOff>533400</xdr:colOff>
      <xdr:row>3</xdr:row>
      <xdr:rowOff>88900</xdr:rowOff>
    </xdr:from>
    <xdr:to>
      <xdr:col>9</xdr:col>
      <xdr:colOff>1016000</xdr:colOff>
      <xdr:row>18</xdr:row>
      <xdr:rowOff>0</xdr:rowOff>
    </xdr:to>
    <xdr:pic>
      <xdr:nvPicPr>
        <xdr:cNvPr id="5" name="Picture 4" descr="Screen Shot 2017-10-06 at 10.36.49.png">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5600700" y="762000"/>
          <a:ext cx="3492500" cy="2768600"/>
        </a:xfrm>
        <a:prstGeom prst="rect">
          <a:avLst/>
        </a:prstGeom>
      </xdr:spPr>
    </xdr:pic>
    <xdr:clientData/>
  </xdr:twoCellAnchor>
  <xdr:twoCellAnchor editAs="oneCell">
    <xdr:from>
      <xdr:col>0</xdr:col>
      <xdr:colOff>200025</xdr:colOff>
      <xdr:row>85</xdr:row>
      <xdr:rowOff>9525</xdr:rowOff>
    </xdr:from>
    <xdr:to>
      <xdr:col>6</xdr:col>
      <xdr:colOff>294573</xdr:colOff>
      <xdr:row>126</xdr:row>
      <xdr:rowOff>113262</xdr:rowOff>
    </xdr:to>
    <xdr:pic>
      <xdr:nvPicPr>
        <xdr:cNvPr id="6" name="Picture 5">
          <a:extLst>
            <a:ext uri="{FF2B5EF4-FFF2-40B4-BE49-F238E27FC236}">
              <a16:creationId xmlns:a16="http://schemas.microsoft.com/office/drawing/2014/main" id="{6F955360-3D1C-47A9-B748-ADDB0A7E8FA2}"/>
            </a:ext>
          </a:extLst>
        </xdr:cNvPr>
        <xdr:cNvPicPr>
          <a:picLocks noChangeAspect="1"/>
        </xdr:cNvPicPr>
      </xdr:nvPicPr>
      <xdr:blipFill>
        <a:blip xmlns:r="http://schemas.openxmlformats.org/officeDocument/2006/relationships" r:embed="rId4"/>
        <a:stretch>
          <a:fillRect/>
        </a:stretch>
      </xdr:blipFill>
      <xdr:spPr>
        <a:xfrm>
          <a:off x="200025" y="17106900"/>
          <a:ext cx="5619048" cy="830476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xdr:row>
      <xdr:rowOff>165100</xdr:rowOff>
    </xdr:from>
    <xdr:to>
      <xdr:col>17</xdr:col>
      <xdr:colOff>88900</xdr:colOff>
      <xdr:row>55</xdr:row>
      <xdr:rowOff>38100</xdr:rowOff>
    </xdr:to>
    <xdr:pic>
      <xdr:nvPicPr>
        <xdr:cNvPr id="2" name="Picture 1" descr="Screen Shot 2017-10-06 at 15.10.01.png">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546100"/>
          <a:ext cx="14122400" cy="9969500"/>
        </a:xfrm>
        <a:prstGeom prst="rect">
          <a:avLst/>
        </a:prstGeom>
      </xdr:spPr>
    </xdr:pic>
    <xdr:clientData/>
  </xdr:twoCellAnchor>
  <xdr:twoCellAnchor editAs="oneCell">
    <xdr:from>
      <xdr:col>0</xdr:col>
      <xdr:colOff>0</xdr:colOff>
      <xdr:row>58</xdr:row>
      <xdr:rowOff>0</xdr:rowOff>
    </xdr:from>
    <xdr:to>
      <xdr:col>10</xdr:col>
      <xdr:colOff>749300</xdr:colOff>
      <xdr:row>124</xdr:row>
      <xdr:rowOff>127000</xdr:rowOff>
    </xdr:to>
    <xdr:pic>
      <xdr:nvPicPr>
        <xdr:cNvPr id="3" name="Picture 2" descr="Screen Shot 2017-10-06 at 15.11.55.png">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11049000"/>
          <a:ext cx="9004300" cy="12700000"/>
        </a:xfrm>
        <a:prstGeom prst="rect">
          <a:avLst/>
        </a:prstGeom>
      </xdr:spPr>
    </xdr:pic>
    <xdr:clientData/>
  </xdr:twoCellAnchor>
  <xdr:twoCellAnchor editAs="oneCell">
    <xdr:from>
      <xdr:col>0</xdr:col>
      <xdr:colOff>0</xdr:colOff>
      <xdr:row>126</xdr:row>
      <xdr:rowOff>0</xdr:rowOff>
    </xdr:from>
    <xdr:to>
      <xdr:col>12</xdr:col>
      <xdr:colOff>612322</xdr:colOff>
      <xdr:row>177</xdr:row>
      <xdr:rowOff>192790</xdr:rowOff>
    </xdr:to>
    <xdr:pic>
      <xdr:nvPicPr>
        <xdr:cNvPr id="4" name="Picture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a:off x="0" y="25717500"/>
          <a:ext cx="10736036" cy="10602254"/>
        </a:xfrm>
        <a:prstGeom prst="rect">
          <a:avLst/>
        </a:prstGeom>
      </xdr:spPr>
    </xdr:pic>
    <xdr:clientData/>
  </xdr:twoCellAnchor>
  <xdr:twoCellAnchor editAs="oneCell">
    <xdr:from>
      <xdr:col>0</xdr:col>
      <xdr:colOff>27214</xdr:colOff>
      <xdr:row>179</xdr:row>
      <xdr:rowOff>190500</xdr:rowOff>
    </xdr:from>
    <xdr:to>
      <xdr:col>8</xdr:col>
      <xdr:colOff>30452</xdr:colOff>
      <xdr:row>220</xdr:row>
      <xdr:rowOff>203060</xdr:rowOff>
    </xdr:to>
    <xdr:pic>
      <xdr:nvPicPr>
        <xdr:cNvPr id="5" name="Picture 4">
          <a:extLst>
            <a:ext uri="{FF2B5EF4-FFF2-40B4-BE49-F238E27FC236}">
              <a16:creationId xmlns:a16="http://schemas.microsoft.com/office/drawing/2014/main" id="{4C3C2BE5-062C-46BF-870D-D8B3075A9D93}"/>
            </a:ext>
          </a:extLst>
        </xdr:cNvPr>
        <xdr:cNvPicPr>
          <a:picLocks noChangeAspect="1"/>
        </xdr:cNvPicPr>
      </xdr:nvPicPr>
      <xdr:blipFill>
        <a:blip xmlns:r="http://schemas.openxmlformats.org/officeDocument/2006/relationships" r:embed="rId4"/>
        <a:stretch>
          <a:fillRect/>
        </a:stretch>
      </xdr:blipFill>
      <xdr:spPr>
        <a:xfrm>
          <a:off x="27214" y="36725679"/>
          <a:ext cx="6752381" cy="8380952"/>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Feigenwinter  Iris" id="{3045D549-D4BE-41A5-8A22-75A2338BB84C}" userId="S::feiris@ethz.ch::b6182745-1134-46be-8ac6-dfab0a5ef299" providerId="AD"/>
  <person displayName="Wang  Yi" id="{144658EC-1568-4470-92F0-07A98D728E4B}" userId="S::yiwang2@ethz.ch::e007d570-74bc-48a6-a7ff-a69edd637715"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H137" dT="2021-10-13T09:51:30.43" personId="{3045D549-D4BE-41A5-8A22-75A2338BB84C}" id="{916EBFAF-870E-4796-8EBE-C0B6088AB8CB}">
    <text>changed 2007 to 2006 since it was probably a mistake to put 2007 here</text>
  </threadedComment>
  <threadedComment ref="H138" dT="2021-10-13T09:51:39.40" personId="{3045D549-D4BE-41A5-8A22-75A2338BB84C}" id="{89E98B5A-B022-4CAD-BF4E-CF6B9BE65D0C}">
    <text>changed 2007 to 2006 since it was probably a mistake to put 2007 here</text>
  </threadedComment>
  <threadedComment ref="H155" dT="2021-10-13T09:50:00.59" personId="{3045D549-D4BE-41A5-8A22-75A2338BB84C}" id="{83D4303A-4AF9-4441-B530-0F952A6988EE}">
    <text>changed 2007 to 2006 since it was probably a mistake to put 2007 here</text>
  </threadedComment>
  <threadedComment ref="AH426" dT="2021-10-13T10:47:24.76" personId="{3045D549-D4BE-41A5-8A22-75A2338BB84C}" id="{EEBBEFAB-1C8B-4CEC-BA26-589EA939A569}">
    <text>Estimated from webcam images, no information from farmer available</text>
  </threadedComment>
  <threadedComment ref="AH431" dT="2021-10-13T10:47:24.76" personId="{3045D549-D4BE-41A5-8A22-75A2338BB84C}" id="{4F4AFCF3-1940-499E-9418-61209FA901A9}">
    <text>Estimated from webcam images, no information from farmer available</text>
  </threadedComment>
  <threadedComment ref="AJ467" dT="2021-08-02T14:31:22.41" personId="{3045D549-D4BE-41A5-8A22-75A2338BB84C}" id="{4D46A692-9A8E-478D-A19C-A28020EDC02F}">
    <text>From agrotech sheet</text>
  </threadedComment>
  <threadedComment ref="AJ469" dT="2021-08-02T14:31:22.41" personId="{3045D549-D4BE-41A5-8A22-75A2338BB84C}" id="{F695D22C-942B-4E7E-BDF6-48F67A3ED898}">
    <text>From agrotech sheet</text>
  </threadedComment>
  <threadedComment ref="AJ471" dT="2021-08-02T14:31:22.41" personId="{3045D549-D4BE-41A5-8A22-75A2338BB84C}" id="{7F2E38F9-4CCE-4B7A-8087-C7D8D67BA38A}">
    <text>From agrotech sheet</text>
  </threadedComment>
  <threadedComment ref="AJ476" dT="2021-08-02T14:31:22.41" personId="{3045D549-D4BE-41A5-8A22-75A2338BB84C}" id="{87F55534-5608-41A8-B257-556B5941C689}">
    <text>From agrotech sheet</text>
  </threadedComment>
  <threadedComment ref="AJ477" dT="2021-08-02T14:31:22.41" personId="{3045D549-D4BE-41A5-8A22-75A2338BB84C}" id="{310F2C12-74C5-4E9A-A375-F28A298B9814}">
    <text>From agrotech sheet</text>
  </threadedComment>
  <threadedComment ref="AJ478" dT="2021-08-02T14:31:22.41" personId="{3045D549-D4BE-41A5-8A22-75A2338BB84C}" id="{E6D68A0B-8E53-4CFF-AE75-2C5D7AB7832E}">
    <text>From agrotech sheet</text>
  </threadedComment>
  <threadedComment ref="AJ481" dT="2021-03-03T13:46:56.61" personId="{3045D549-D4BE-41A5-8A22-75A2338BB84C}" id="{08DEEBA3-942D-4339-9850-8A7FD5015583}">
    <text>Apprentice was driving too slowly so too much slurry. Farmer said on average 50m3/ha for both parcels but ch4 got more than ch5 so we agreed on these numbers</text>
  </threadedComment>
  <threadedComment ref="F490" dT="2021-10-13T13:14:37.73" personId="{3045D549-D4BE-41A5-8A22-75A2338BB84C}" id="{85708D15-653B-451F-A438-9CCF12E888AD}">
    <text>They left out a strip in the south of the station in the ditch because it was too wet to be driven onto</text>
  </threadedComment>
  <threadedComment ref="F491" dT="2021-10-13T13:13:56.61" personId="{3045D549-D4BE-41A5-8A22-75A2338BB84C}" id="{E893FC4A-40D6-48B6-BD75-19E690C67022}">
    <text>Leftover strip on A got resown</text>
  </threadedComment>
  <threadedComment ref="G494" dT="2021-03-03T13:47:50.38" personId="{3045D549-D4BE-41A5-8A22-75A2338BB84C}" id="{75247B03-15DB-4927-85FB-FE4892F722E9}">
    <text>First time parcel B was fertilized since 2015!</text>
  </threadedComment>
  <threadedComment ref="AJ494" dT="2021-03-03T13:47:09.18" personId="{3045D549-D4BE-41A5-8A22-75A2338BB84C}" id="{A8EA69F5-9E1D-4CEC-8C59-57AD2984B505}">
    <text>Apprentice was driving too slowly so too much slurry. Farmer said on average 50m3/ha for both parcels but ch4 got more than ch5 so we agreed on these numbers</text>
  </threadedComment>
  <threadedComment ref="G509" dT="2022-10-26T14:08:50.64" personId="{144658EC-1568-4470-92F0-07A98D728E4B}" id="{0702B0E6-25EB-4D20-9FC2-1B9B0B026DCC}">
    <text>No biomass samples</text>
  </threadedComment>
  <threadedComment ref="I513" dT="2022-10-26T14:55:39.12" personId="{144658EC-1568-4470-92F0-07A98D728E4B}" id="{8086F09C-83BE-4F83-BA0E-D73E6F65E1B3}">
    <text>An ellipse was left around the station for biomass sampling. That area was mowed on 2022-08-11, but farmer only took away the grass until 2022-08-16.</text>
  </threadedComment>
  <threadedComment ref="I514" dT="2022-10-26T14:56:35.73" personId="{144658EC-1568-4470-92F0-07A98D728E4B}" id="{64068B4A-0361-494D-B372-3EE6B3265831}">
    <text>On both days</text>
  </threadedComment>
  <threadedComment ref="I516" dT="2022-10-26T14:59:35.77" personId="{144658EC-1568-4470-92F0-07A98D728E4B}" id="{528DC9E4-3599-48CA-8504-BFC4B557B2DE}">
    <text>Farmer told us the fertilization was from Wednesday (2022-10-05) to Friday (2022-10-07)</text>
  </threadedComment>
  <threadedComment ref="G520" dT="2022-10-26T14:08:50.64" personId="{144658EC-1568-4470-92F0-07A98D728E4B}" id="{6637C02C-F663-4643-B137-E7225EEDF015}">
    <text>No biomass samples</text>
  </threadedComment>
  <threadedComment ref="I524" dT="2022-10-26T14:55:39.12" personId="{144658EC-1568-4470-92F0-07A98D728E4B}" id="{FD4C3258-FB14-42DE-AAC4-6CEF7D7C41DC}">
    <text>An ellipse was left around the station for biomass sampling. That area was mowed on 2022-08-11, but farmer only took away the grass until 2022-08-16.</text>
  </threadedComment>
  <threadedComment ref="I525" dT="2022-10-26T14:56:35.73" personId="{144658EC-1568-4470-92F0-07A98D728E4B}" id="{A883F372-B375-4F24-8D9A-D1ADE9A8E5C2}">
    <text>On both days</text>
  </threadedComment>
  <threadedComment ref="I527" dT="2022-10-26T14:59:35.77" personId="{144658EC-1568-4470-92F0-07A98D728E4B}" id="{C6276C91-354E-4269-830D-04A426CCFC4E}">
    <text>Farmer told us the fertilization was from Wednesday (2022-10-05) to Friday (2022-10-07)</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R579"/>
  <sheetViews>
    <sheetView tabSelected="1" zoomScaleNormal="100" workbookViewId="0">
      <pane xSplit="9" ySplit="1" topLeftCell="J554" activePane="bottomRight" state="frozen"/>
      <selection pane="topRight" activeCell="J1" sqref="J1"/>
      <selection pane="bottomLeft" activeCell="A2" sqref="A2"/>
      <selection pane="bottomRight" activeCell="H561" sqref="H561"/>
    </sheetView>
  </sheetViews>
  <sheetFormatPr defaultColWidth="10.875" defaultRowHeight="15.75"/>
  <cols>
    <col min="1" max="1" width="4.875" style="12" customWidth="1"/>
    <col min="2" max="2" width="10.875" style="13"/>
    <col min="3" max="3" width="5.125" style="12" customWidth="1"/>
    <col min="4" max="4" width="18.25" style="8" customWidth="1"/>
    <col min="5" max="5" width="15" style="15" customWidth="1"/>
    <col min="6" max="6" width="13.875" style="8" customWidth="1"/>
    <col min="7" max="7" width="22.625" style="8" bestFit="1" customWidth="1"/>
    <col min="8" max="8" width="17.625" style="10" customWidth="1"/>
    <col min="9" max="9" width="10.875" style="10"/>
    <col min="10" max="10" width="10.875" style="11"/>
    <col min="11" max="15" width="10.875" style="3" customWidth="1"/>
    <col min="16" max="16" width="14.125" style="3" customWidth="1"/>
    <col min="17" max="17" width="16.25" style="3" customWidth="1"/>
    <col min="18" max="18" width="14.125" style="3" customWidth="1"/>
    <col min="19" max="19" width="16.5" style="3" customWidth="1"/>
    <col min="20" max="20" width="10.875" style="3" customWidth="1"/>
    <col min="21" max="21" width="15" style="3" customWidth="1"/>
    <col min="22" max="22" width="22.625" style="14" bestFit="1" customWidth="1"/>
    <col min="23" max="23" width="10.875" style="32"/>
    <col min="24" max="24" width="13.875" style="32" bestFit="1" customWidth="1"/>
    <col min="25" max="25" width="17.625" style="3" bestFit="1" customWidth="1"/>
    <col min="26" max="26" width="11" style="3" bestFit="1" customWidth="1"/>
    <col min="27" max="30" width="11" style="24" bestFit="1" customWidth="1"/>
    <col min="31" max="32" width="11" style="8" bestFit="1" customWidth="1"/>
    <col min="33" max="33" width="10.875" style="2"/>
    <col min="34" max="34" width="14.625" style="39" bestFit="1" customWidth="1"/>
    <col min="35" max="35" width="19" style="39" bestFit="1" customWidth="1"/>
    <col min="36" max="36" width="21.375" style="16" customWidth="1"/>
    <col min="37" max="37" width="7.625" style="1" customWidth="1"/>
    <col min="38" max="38" width="10.875" style="5" customWidth="1"/>
    <col min="39" max="39" width="15.375" style="3" customWidth="1"/>
    <col min="40" max="40" width="10.875" style="3" customWidth="1"/>
    <col min="41" max="44" width="10.875" style="5" customWidth="1"/>
    <col min="45" max="16384" width="10.875" style="8"/>
  </cols>
  <sheetData>
    <row r="1" spans="1:44">
      <c r="A1" s="100" t="s">
        <v>8</v>
      </c>
      <c r="B1" s="100" t="s">
        <v>13</v>
      </c>
      <c r="C1" s="100" t="s">
        <v>14</v>
      </c>
      <c r="D1" s="29" t="s">
        <v>28</v>
      </c>
      <c r="E1" s="30" t="s">
        <v>22</v>
      </c>
      <c r="F1" s="100" t="s">
        <v>60</v>
      </c>
      <c r="G1" s="29" t="s">
        <v>183</v>
      </c>
      <c r="H1" s="29" t="s">
        <v>15</v>
      </c>
      <c r="I1" s="31" t="s">
        <v>16</v>
      </c>
      <c r="J1" s="29" t="s">
        <v>27</v>
      </c>
      <c r="K1" s="6" t="s">
        <v>79</v>
      </c>
      <c r="L1" s="6" t="s">
        <v>61</v>
      </c>
      <c r="M1" s="6" t="s">
        <v>80</v>
      </c>
      <c r="N1" s="6" t="s">
        <v>59</v>
      </c>
      <c r="O1" s="6" t="s">
        <v>82</v>
      </c>
      <c r="P1" s="6" t="s">
        <v>76</v>
      </c>
      <c r="Q1" s="6" t="s">
        <v>81</v>
      </c>
      <c r="R1" s="6" t="s">
        <v>77</v>
      </c>
      <c r="S1" s="7" t="s">
        <v>20</v>
      </c>
      <c r="T1" s="25" t="s">
        <v>9</v>
      </c>
      <c r="U1" s="25" t="s">
        <v>10</v>
      </c>
      <c r="V1" s="26" t="s">
        <v>57</v>
      </c>
      <c r="W1" s="35" t="s">
        <v>156</v>
      </c>
      <c r="X1" s="35" t="s">
        <v>157</v>
      </c>
      <c r="Y1" s="27" t="s">
        <v>53</v>
      </c>
      <c r="Z1" s="27" t="s">
        <v>54</v>
      </c>
      <c r="AA1" s="28" t="s">
        <v>58</v>
      </c>
      <c r="AB1" s="28" t="s">
        <v>55</v>
      </c>
      <c r="AC1" s="28" t="s">
        <v>56</v>
      </c>
      <c r="AD1" s="28" t="s">
        <v>63</v>
      </c>
      <c r="AE1" s="28" t="s">
        <v>64</v>
      </c>
      <c r="AF1" s="28" t="s">
        <v>65</v>
      </c>
      <c r="AG1" s="29" t="s">
        <v>74</v>
      </c>
      <c r="AH1" s="101" t="s">
        <v>68</v>
      </c>
      <c r="AI1" s="101"/>
      <c r="AJ1" s="102" t="s">
        <v>84</v>
      </c>
      <c r="AK1" s="103" t="s">
        <v>18</v>
      </c>
      <c r="AL1" s="7" t="s">
        <v>19</v>
      </c>
      <c r="AM1" s="7" t="s">
        <v>69</v>
      </c>
      <c r="AN1" s="6" t="s">
        <v>78</v>
      </c>
      <c r="AO1" s="104" t="s">
        <v>75</v>
      </c>
      <c r="AP1" s="105" t="s">
        <v>11</v>
      </c>
      <c r="AQ1" s="105" t="s">
        <v>12</v>
      </c>
      <c r="AR1" s="105" t="s">
        <v>0</v>
      </c>
    </row>
    <row r="2" spans="1:44">
      <c r="A2" s="75">
        <v>1</v>
      </c>
      <c r="B2" s="108">
        <v>2001</v>
      </c>
      <c r="C2" s="117" t="s">
        <v>138</v>
      </c>
      <c r="D2" s="9" t="s">
        <v>108</v>
      </c>
      <c r="E2" s="9" t="s">
        <v>17</v>
      </c>
      <c r="F2" s="9" t="s">
        <v>37</v>
      </c>
      <c r="G2" s="9" t="s">
        <v>46</v>
      </c>
      <c r="H2" s="17">
        <v>36906</v>
      </c>
      <c r="I2" s="17"/>
      <c r="J2" s="18"/>
      <c r="K2" s="122">
        <v>32.07</v>
      </c>
      <c r="L2" s="122">
        <v>3.6</v>
      </c>
      <c r="M2" s="122">
        <v>0.5</v>
      </c>
      <c r="N2" s="122">
        <v>458.62</v>
      </c>
      <c r="O2" s="122">
        <v>14.3</v>
      </c>
      <c r="P2" s="122">
        <f>AJ2*1000*AN2/100</f>
        <v>6445.2857142857156</v>
      </c>
      <c r="Q2" s="122">
        <f>N2*P2/1000</f>
        <v>2955.9369342857149</v>
      </c>
      <c r="R2" s="122">
        <f>P2*K2/1000</f>
        <v>206.7003128571429</v>
      </c>
      <c r="S2" s="122"/>
      <c r="T2" s="122">
        <f>$AJ2*1000*$AN2*0.01*$N2*0.001</f>
        <v>2955.9369342857153</v>
      </c>
      <c r="U2" s="122">
        <f>$AJ2*1000*$AN2*0.01*$K2*0.001</f>
        <v>206.70031285714293</v>
      </c>
      <c r="V2" s="123"/>
      <c r="W2" s="122"/>
      <c r="X2" s="122"/>
      <c r="Y2" s="122"/>
      <c r="Z2" s="122"/>
      <c r="AG2" s="124">
        <v>1.4</v>
      </c>
      <c r="AH2" s="1">
        <v>54</v>
      </c>
      <c r="AI2" s="1"/>
      <c r="AJ2" s="124">
        <f>IF(AH2/AG2&gt;0, AH2/AG2,"")</f>
        <v>38.571428571428577</v>
      </c>
      <c r="AK2" s="1" t="s">
        <v>2</v>
      </c>
      <c r="AL2" s="122"/>
      <c r="AM2" s="122"/>
      <c r="AN2" s="122">
        <v>16.71</v>
      </c>
      <c r="AO2" s="122">
        <v>120</v>
      </c>
      <c r="AP2" s="122">
        <v>96</v>
      </c>
      <c r="AQ2" s="122">
        <v>463</v>
      </c>
      <c r="AR2" s="122">
        <v>35</v>
      </c>
    </row>
    <row r="3" spans="1:44">
      <c r="A3" s="75">
        <v>2</v>
      </c>
      <c r="B3" s="108">
        <v>2001</v>
      </c>
      <c r="C3" s="117" t="s">
        <v>138</v>
      </c>
      <c r="D3" s="9" t="s">
        <v>108</v>
      </c>
      <c r="E3" s="9" t="s">
        <v>26</v>
      </c>
      <c r="F3" s="9" t="s">
        <v>31</v>
      </c>
      <c r="G3" s="34" t="s">
        <v>32</v>
      </c>
      <c r="H3" s="17">
        <v>36980</v>
      </c>
      <c r="I3" s="17"/>
      <c r="J3" s="18"/>
      <c r="K3" s="122"/>
      <c r="L3" s="122"/>
      <c r="M3" s="122"/>
      <c r="N3" s="122"/>
      <c r="O3" s="122"/>
      <c r="P3" s="122"/>
      <c r="Q3" s="122"/>
      <c r="R3" s="122"/>
      <c r="S3" s="122"/>
      <c r="T3" s="122"/>
      <c r="U3" s="122"/>
      <c r="V3" s="123"/>
      <c r="W3" s="122"/>
      <c r="X3" s="122"/>
      <c r="Y3" s="122"/>
      <c r="Z3" s="122"/>
      <c r="AG3" s="124">
        <v>1.4</v>
      </c>
      <c r="AH3" s="1">
        <v>1.4</v>
      </c>
      <c r="AI3" s="1"/>
      <c r="AJ3" s="122"/>
      <c r="AL3" s="122"/>
      <c r="AM3" s="122"/>
      <c r="AN3" s="122"/>
      <c r="AO3" s="122"/>
      <c r="AP3" s="122"/>
      <c r="AQ3" s="122"/>
      <c r="AR3" s="122"/>
    </row>
    <row r="4" spans="1:44">
      <c r="A4" s="75">
        <v>3</v>
      </c>
      <c r="B4" s="108">
        <v>2001</v>
      </c>
      <c r="C4" s="117" t="s">
        <v>138</v>
      </c>
      <c r="D4" s="9" t="s">
        <v>108</v>
      </c>
      <c r="E4" s="9" t="s">
        <v>26</v>
      </c>
      <c r="F4" s="9" t="s">
        <v>30</v>
      </c>
      <c r="G4" s="9" t="s">
        <v>127</v>
      </c>
      <c r="H4" s="17">
        <v>36983</v>
      </c>
      <c r="I4" s="17"/>
      <c r="J4" s="18"/>
      <c r="K4" s="122"/>
      <c r="L4" s="122"/>
      <c r="M4" s="122"/>
      <c r="N4" s="122"/>
      <c r="O4" s="122"/>
      <c r="P4" s="122"/>
      <c r="Q4" s="122"/>
      <c r="R4" s="122"/>
      <c r="S4" s="122"/>
      <c r="T4" s="122"/>
      <c r="U4" s="122"/>
      <c r="V4" s="123"/>
      <c r="W4" s="122"/>
      <c r="X4" s="122"/>
      <c r="Y4" s="122"/>
      <c r="Z4" s="122"/>
      <c r="AG4" s="124">
        <v>1.4</v>
      </c>
      <c r="AH4" s="1">
        <v>1.4</v>
      </c>
      <c r="AI4" s="1"/>
      <c r="AJ4" s="122"/>
      <c r="AL4" s="122"/>
      <c r="AM4" s="122"/>
      <c r="AN4" s="122"/>
      <c r="AO4" s="122"/>
      <c r="AP4" s="122"/>
      <c r="AQ4" s="122"/>
      <c r="AR4" s="122"/>
    </row>
    <row r="5" spans="1:44">
      <c r="A5" s="75">
        <v>4</v>
      </c>
      <c r="B5" s="108">
        <v>2001</v>
      </c>
      <c r="C5" s="117" t="s">
        <v>138</v>
      </c>
      <c r="D5" s="9" t="s">
        <v>108</v>
      </c>
      <c r="E5" s="9" t="s">
        <v>25</v>
      </c>
      <c r="F5" s="9" t="s">
        <v>29</v>
      </c>
      <c r="G5" s="9" t="s">
        <v>44</v>
      </c>
      <c r="H5" s="17">
        <v>37018</v>
      </c>
      <c r="I5" s="17">
        <v>37026</v>
      </c>
      <c r="J5" s="18">
        <v>1</v>
      </c>
      <c r="K5" s="122"/>
      <c r="L5" s="122"/>
      <c r="M5" s="122"/>
      <c r="N5" s="122"/>
      <c r="O5" s="122"/>
      <c r="P5" s="122"/>
      <c r="Q5" s="122"/>
      <c r="R5" s="122"/>
      <c r="S5" s="122">
        <f>AJ5*AL5*AM5</f>
        <v>3272.6400000000003</v>
      </c>
      <c r="T5" s="122">
        <f>S5*0.4089</f>
        <v>1338.1824960000001</v>
      </c>
      <c r="U5" s="122">
        <f>S5*0.0263</f>
        <v>86.070432000000011</v>
      </c>
      <c r="V5" s="123"/>
      <c r="W5" s="122"/>
      <c r="X5" s="122"/>
      <c r="Y5" s="122"/>
      <c r="Z5" s="122"/>
      <c r="AG5" s="124">
        <v>1.4</v>
      </c>
      <c r="AH5" s="1">
        <v>5</v>
      </c>
      <c r="AI5" s="1"/>
      <c r="AJ5" s="125">
        <v>34.090000000000003</v>
      </c>
      <c r="AK5" s="1" t="s">
        <v>66</v>
      </c>
      <c r="AL5" s="122">
        <v>8</v>
      </c>
      <c r="AM5" s="122">
        <v>12</v>
      </c>
      <c r="AN5" s="122"/>
      <c r="AO5" s="122"/>
      <c r="AP5" s="122"/>
      <c r="AQ5" s="122"/>
      <c r="AR5" s="122"/>
    </row>
    <row r="6" spans="1:44">
      <c r="A6" s="75">
        <v>5</v>
      </c>
      <c r="B6" s="108">
        <v>2001</v>
      </c>
      <c r="C6" s="117" t="s">
        <v>138</v>
      </c>
      <c r="D6" s="9" t="s">
        <v>108</v>
      </c>
      <c r="E6" s="9" t="s">
        <v>26</v>
      </c>
      <c r="F6" s="9" t="s">
        <v>42</v>
      </c>
      <c r="G6" s="9"/>
      <c r="H6" s="17">
        <v>37049</v>
      </c>
      <c r="I6" s="17"/>
      <c r="J6" s="18"/>
      <c r="K6" s="122"/>
      <c r="L6" s="122"/>
      <c r="M6" s="122"/>
      <c r="N6" s="122"/>
      <c r="O6" s="122"/>
      <c r="P6" s="122"/>
      <c r="Q6" s="122"/>
      <c r="R6" s="122"/>
      <c r="S6" s="122"/>
      <c r="T6" s="122"/>
      <c r="U6" s="122"/>
      <c r="V6" s="123"/>
      <c r="W6" s="122"/>
      <c r="X6" s="122"/>
      <c r="Y6" s="122"/>
      <c r="Z6" s="122"/>
      <c r="AG6" s="124">
        <v>1.4</v>
      </c>
      <c r="AH6" s="1"/>
      <c r="AI6" s="1"/>
      <c r="AJ6" s="124"/>
      <c r="AL6" s="122"/>
      <c r="AM6" s="122"/>
      <c r="AN6" s="122"/>
      <c r="AO6" s="122"/>
      <c r="AP6" s="122"/>
      <c r="AQ6" s="122"/>
      <c r="AR6" s="122"/>
    </row>
    <row r="7" spans="1:44">
      <c r="A7" s="75">
        <v>6</v>
      </c>
      <c r="B7" s="108">
        <v>2001</v>
      </c>
      <c r="C7" s="117" t="s">
        <v>138</v>
      </c>
      <c r="D7" s="9" t="s">
        <v>108</v>
      </c>
      <c r="E7" s="9" t="s">
        <v>26</v>
      </c>
      <c r="F7" s="9" t="s">
        <v>30</v>
      </c>
      <c r="G7" s="4" t="s">
        <v>128</v>
      </c>
      <c r="H7" s="17">
        <v>37049</v>
      </c>
      <c r="I7" s="17"/>
      <c r="J7" s="18"/>
      <c r="K7" s="122"/>
      <c r="L7" s="122"/>
      <c r="M7" s="122"/>
      <c r="N7" s="122"/>
      <c r="O7" s="122"/>
      <c r="P7" s="122"/>
      <c r="Q7" s="122"/>
      <c r="R7" s="122"/>
      <c r="S7" s="122"/>
      <c r="T7" s="122"/>
      <c r="U7" s="122"/>
      <c r="V7" s="123"/>
      <c r="W7" s="122"/>
      <c r="X7" s="122"/>
      <c r="Y7" s="122"/>
      <c r="Z7" s="122"/>
      <c r="AG7" s="124">
        <v>1.4</v>
      </c>
      <c r="AH7" s="1">
        <v>1.4</v>
      </c>
      <c r="AI7" s="1"/>
      <c r="AJ7" s="124">
        <f>IF(AH7/AG7&gt;0, AH7/AG7,"")</f>
        <v>1</v>
      </c>
      <c r="AK7" s="1" t="s">
        <v>4</v>
      </c>
      <c r="AL7" s="122"/>
      <c r="AM7" s="122"/>
      <c r="AN7" s="122"/>
      <c r="AO7" s="122"/>
      <c r="AP7" s="122"/>
      <c r="AQ7" s="122"/>
      <c r="AR7" s="122"/>
    </row>
    <row r="8" spans="1:44">
      <c r="A8" s="75">
        <v>7</v>
      </c>
      <c r="B8" s="108">
        <v>2001</v>
      </c>
      <c r="C8" s="117" t="s">
        <v>138</v>
      </c>
      <c r="D8" s="9" t="s">
        <v>108</v>
      </c>
      <c r="E8" s="9" t="s">
        <v>23</v>
      </c>
      <c r="F8" s="9" t="s">
        <v>38</v>
      </c>
      <c r="G8" s="9" t="s">
        <v>50</v>
      </c>
      <c r="H8" s="17">
        <v>37049</v>
      </c>
      <c r="I8" s="17"/>
      <c r="J8" s="18"/>
      <c r="K8" s="122"/>
      <c r="L8" s="122"/>
      <c r="M8" s="122"/>
      <c r="N8" s="122"/>
      <c r="O8" s="122"/>
      <c r="P8" s="122"/>
      <c r="Q8" s="122"/>
      <c r="R8" s="122"/>
      <c r="S8" s="122"/>
      <c r="T8" s="122"/>
      <c r="U8" s="122"/>
      <c r="V8" s="123"/>
      <c r="W8" s="122"/>
      <c r="X8" s="122"/>
      <c r="Y8" s="122"/>
      <c r="Z8" s="122"/>
      <c r="AG8" s="124">
        <v>1.4</v>
      </c>
      <c r="AH8" s="1">
        <v>56</v>
      </c>
      <c r="AI8" s="1"/>
      <c r="AJ8" s="124">
        <f>IF(AH8/AG8&gt;0, AH8/AG8,"")</f>
        <v>40</v>
      </c>
      <c r="AK8" s="1" t="s">
        <v>3</v>
      </c>
      <c r="AL8" s="122"/>
      <c r="AM8" s="122"/>
      <c r="AN8" s="122"/>
      <c r="AO8" s="122"/>
      <c r="AP8" s="122"/>
      <c r="AQ8" s="122"/>
      <c r="AR8" s="122"/>
    </row>
    <row r="9" spans="1:44">
      <c r="A9" s="75">
        <v>8</v>
      </c>
      <c r="B9" s="108">
        <v>2001</v>
      </c>
      <c r="C9" s="117" t="s">
        <v>138</v>
      </c>
      <c r="D9" s="9" t="s">
        <v>108</v>
      </c>
      <c r="E9" s="9" t="s">
        <v>25</v>
      </c>
      <c r="F9" s="9" t="s">
        <v>35</v>
      </c>
      <c r="G9" s="9" t="s">
        <v>36</v>
      </c>
      <c r="H9" s="17">
        <v>37097</v>
      </c>
      <c r="I9" s="17">
        <v>37097</v>
      </c>
      <c r="J9" s="18">
        <v>1</v>
      </c>
      <c r="K9" s="122"/>
      <c r="L9" s="122"/>
      <c r="M9" s="122"/>
      <c r="N9" s="122"/>
      <c r="O9" s="122"/>
      <c r="P9" s="122"/>
      <c r="Q9" s="122"/>
      <c r="R9" s="122"/>
      <c r="S9" s="122">
        <f>AJ9*AM9*AN9*0.01</f>
        <v>634.28571428571433</v>
      </c>
      <c r="T9" s="122">
        <f>S9*0.4089</f>
        <v>259.35942857142857</v>
      </c>
      <c r="U9" s="122">
        <f>S9*0.0263</f>
        <v>16.681714285714289</v>
      </c>
      <c r="V9" s="123"/>
      <c r="W9" s="122"/>
      <c r="X9" s="122"/>
      <c r="Y9" s="122"/>
      <c r="Z9" s="122"/>
      <c r="AG9" s="124">
        <v>1.4</v>
      </c>
      <c r="AH9" s="1">
        <v>0.8</v>
      </c>
      <c r="AI9" s="1"/>
      <c r="AJ9" s="124">
        <f>IF(AH9/AG9&gt;0, AH9/AG9,"")</f>
        <v>0.57142857142857151</v>
      </c>
      <c r="AK9" s="1" t="s">
        <v>67</v>
      </c>
      <c r="AL9" s="122"/>
      <c r="AM9" s="122">
        <v>3000</v>
      </c>
      <c r="AN9" s="122">
        <v>37</v>
      </c>
      <c r="AO9" s="122"/>
      <c r="AP9" s="122"/>
      <c r="AQ9" s="122"/>
      <c r="AR9" s="122"/>
    </row>
    <row r="10" spans="1:44">
      <c r="A10" s="75">
        <v>9</v>
      </c>
      <c r="B10" s="108">
        <v>2001</v>
      </c>
      <c r="C10" s="117" t="s">
        <v>138</v>
      </c>
      <c r="D10" s="9" t="s">
        <v>108</v>
      </c>
      <c r="E10" s="9" t="s">
        <v>17</v>
      </c>
      <c r="F10" s="9" t="s">
        <v>34</v>
      </c>
      <c r="G10" s="33" t="s">
        <v>21</v>
      </c>
      <c r="H10" s="17">
        <v>37109</v>
      </c>
      <c r="I10" s="17"/>
      <c r="J10" s="18"/>
      <c r="K10" s="122">
        <v>270</v>
      </c>
      <c r="L10" s="122">
        <v>135</v>
      </c>
      <c r="M10" s="122">
        <v>135</v>
      </c>
      <c r="N10" s="122">
        <v>0</v>
      </c>
      <c r="O10" s="122">
        <v>0</v>
      </c>
      <c r="P10" s="122">
        <f>AJ10</f>
        <v>65</v>
      </c>
      <c r="Q10" s="122">
        <f>N10*P10/1000</f>
        <v>0</v>
      </c>
      <c r="R10" s="122">
        <f>P10*K10/1000</f>
        <v>17.55</v>
      </c>
      <c r="S10" s="122"/>
      <c r="T10" s="122">
        <f>$AJ10*1000*$AN10*0.01*$N10*0.001</f>
        <v>0</v>
      </c>
      <c r="U10" s="122">
        <f>$AJ10*$AN10*0.01*$K10*0.001</f>
        <v>17.55</v>
      </c>
      <c r="V10" s="123"/>
      <c r="W10" s="122"/>
      <c r="X10" s="122"/>
      <c r="Y10" s="122"/>
      <c r="Z10" s="122"/>
      <c r="AG10" s="124">
        <v>1.4</v>
      </c>
      <c r="AH10" s="1">
        <v>91</v>
      </c>
      <c r="AI10" s="1"/>
      <c r="AJ10" s="124">
        <f>IF(AH10/AG10&gt;0, AH10/AG10,"")</f>
        <v>65</v>
      </c>
      <c r="AK10" s="1" t="s">
        <v>3</v>
      </c>
      <c r="AL10" s="122"/>
      <c r="AM10" s="122"/>
      <c r="AN10" s="122">
        <v>100</v>
      </c>
      <c r="AO10" s="122">
        <v>18</v>
      </c>
      <c r="AP10" s="122">
        <v>0</v>
      </c>
      <c r="AQ10" s="122">
        <v>0</v>
      </c>
      <c r="AR10" s="122">
        <v>0</v>
      </c>
    </row>
    <row r="11" spans="1:44">
      <c r="A11" s="75">
        <v>10</v>
      </c>
      <c r="B11" s="108">
        <v>2001</v>
      </c>
      <c r="C11" s="117" t="s">
        <v>138</v>
      </c>
      <c r="D11" s="9" t="s">
        <v>108</v>
      </c>
      <c r="E11" s="9" t="s">
        <v>25</v>
      </c>
      <c r="F11" s="9" t="s">
        <v>35</v>
      </c>
      <c r="G11" s="9" t="s">
        <v>36</v>
      </c>
      <c r="H11" s="17">
        <v>37124</v>
      </c>
      <c r="I11" s="17">
        <v>37126</v>
      </c>
      <c r="J11" s="18">
        <v>2</v>
      </c>
      <c r="K11" s="122"/>
      <c r="L11" s="122"/>
      <c r="M11" s="122"/>
      <c r="N11" s="122"/>
      <c r="O11" s="122"/>
      <c r="P11" s="122"/>
      <c r="Q11" s="122"/>
      <c r="R11" s="122"/>
      <c r="S11" s="122">
        <f>AJ11*AM11*AN11*0.01</f>
        <v>1189.2857142857142</v>
      </c>
      <c r="T11" s="122">
        <f>S11*0.4089</f>
        <v>486.29892857142852</v>
      </c>
      <c r="U11" s="122">
        <f>S11*0.0263</f>
        <v>31.278214285714284</v>
      </c>
      <c r="V11" s="123"/>
      <c r="W11" s="122"/>
      <c r="X11" s="122"/>
      <c r="Y11" s="122"/>
      <c r="Z11" s="122"/>
      <c r="AG11" s="124">
        <v>1.4</v>
      </c>
      <c r="AH11" s="1">
        <v>1.5</v>
      </c>
      <c r="AI11" s="1"/>
      <c r="AJ11" s="124">
        <f>IF(AH11/AG11&gt;0, AH11/AG11,"")</f>
        <v>1.0714285714285714</v>
      </c>
      <c r="AK11" s="1" t="s">
        <v>67</v>
      </c>
      <c r="AL11" s="122"/>
      <c r="AM11" s="122">
        <v>3000</v>
      </c>
      <c r="AN11" s="122">
        <v>37</v>
      </c>
      <c r="AO11" s="122"/>
      <c r="AP11" s="122"/>
      <c r="AQ11" s="122"/>
      <c r="AR11" s="122"/>
    </row>
    <row r="12" spans="1:44">
      <c r="A12" s="75">
        <v>11</v>
      </c>
      <c r="B12" s="108">
        <v>2001</v>
      </c>
      <c r="C12" s="117" t="s">
        <v>138</v>
      </c>
      <c r="D12" s="9" t="s">
        <v>108</v>
      </c>
      <c r="E12" s="9" t="s">
        <v>26</v>
      </c>
      <c r="F12" s="9" t="s">
        <v>31</v>
      </c>
      <c r="G12" s="9" t="s">
        <v>32</v>
      </c>
      <c r="H12" s="17">
        <v>37146</v>
      </c>
      <c r="I12" s="17"/>
      <c r="J12" s="18"/>
      <c r="K12" s="122"/>
      <c r="L12" s="122"/>
      <c r="M12" s="122"/>
      <c r="N12" s="122"/>
      <c r="O12" s="122"/>
      <c r="P12" s="122"/>
      <c r="Q12" s="122"/>
      <c r="R12" s="122"/>
      <c r="S12" s="122"/>
      <c r="T12" s="122"/>
      <c r="U12" s="122"/>
      <c r="V12" s="123"/>
      <c r="W12" s="122"/>
      <c r="X12" s="122"/>
      <c r="Y12" s="122"/>
      <c r="Z12" s="122"/>
      <c r="AG12" s="124">
        <v>1.4</v>
      </c>
      <c r="AH12" s="1">
        <v>1.4</v>
      </c>
      <c r="AI12" s="1"/>
      <c r="AJ12" s="122"/>
      <c r="AL12" s="122"/>
      <c r="AM12" s="122"/>
      <c r="AN12" s="122"/>
      <c r="AO12" s="122"/>
      <c r="AP12" s="122"/>
      <c r="AQ12" s="122"/>
      <c r="AR12" s="122"/>
    </row>
    <row r="13" spans="1:44">
      <c r="A13" s="75">
        <v>12</v>
      </c>
      <c r="B13" s="108">
        <v>2001</v>
      </c>
      <c r="C13" s="117" t="s">
        <v>138</v>
      </c>
      <c r="D13" s="9" t="s">
        <v>108</v>
      </c>
      <c r="E13" s="9" t="s">
        <v>25</v>
      </c>
      <c r="F13" s="9" t="s">
        <v>35</v>
      </c>
      <c r="G13" s="9" t="s">
        <v>36</v>
      </c>
      <c r="H13" s="17">
        <v>37179</v>
      </c>
      <c r="I13" s="17">
        <v>37180</v>
      </c>
      <c r="J13" s="18">
        <v>3</v>
      </c>
      <c r="K13" s="122"/>
      <c r="L13" s="122"/>
      <c r="M13" s="122"/>
      <c r="N13" s="122"/>
      <c r="O13" s="122"/>
      <c r="P13" s="122"/>
      <c r="Q13" s="122"/>
      <c r="R13" s="122"/>
      <c r="S13" s="122">
        <f>AJ13*AM13*AN13*0.01</f>
        <v>845.71428571428601</v>
      </c>
      <c r="T13" s="122">
        <f>S13*0.4089</f>
        <v>345.81257142857152</v>
      </c>
      <c r="U13" s="122">
        <f>S13*0.0263</f>
        <v>22.242285714285721</v>
      </c>
      <c r="V13" s="123"/>
      <c r="W13" s="122"/>
      <c r="X13" s="122"/>
      <c r="Y13" s="122"/>
      <c r="Z13" s="122"/>
      <c r="AG13" s="124">
        <v>1.4</v>
      </c>
      <c r="AH13" s="1">
        <v>3.2</v>
      </c>
      <c r="AI13" s="1"/>
      <c r="AJ13" s="124">
        <f>IF(AH13/AG13&gt;0, AH13/AG13,"")</f>
        <v>2.285714285714286</v>
      </c>
      <c r="AK13" s="1" t="s">
        <v>2</v>
      </c>
      <c r="AL13" s="122"/>
      <c r="AM13" s="122">
        <v>1000</v>
      </c>
      <c r="AN13" s="122">
        <v>37</v>
      </c>
      <c r="AO13" s="122"/>
      <c r="AP13" s="122"/>
      <c r="AQ13" s="122"/>
      <c r="AR13" s="122"/>
    </row>
    <row r="14" spans="1:44">
      <c r="A14" s="75">
        <v>13</v>
      </c>
      <c r="B14" s="108">
        <v>2001</v>
      </c>
      <c r="C14" s="118" t="s">
        <v>139</v>
      </c>
      <c r="D14" s="9" t="s">
        <v>108</v>
      </c>
      <c r="E14" s="9" t="s">
        <v>17</v>
      </c>
      <c r="F14" s="9" t="s">
        <v>37</v>
      </c>
      <c r="G14" s="9" t="s">
        <v>46</v>
      </c>
      <c r="H14" s="17">
        <v>36907</v>
      </c>
      <c r="I14" s="17"/>
      <c r="J14" s="18"/>
      <c r="K14" s="122">
        <v>32.07</v>
      </c>
      <c r="L14" s="122">
        <v>3.6</v>
      </c>
      <c r="M14" s="122">
        <v>0.5</v>
      </c>
      <c r="N14" s="122">
        <v>458.62</v>
      </c>
      <c r="O14" s="122">
        <v>14.3</v>
      </c>
      <c r="P14" s="122">
        <f>AJ14*1000*AN14/100</f>
        <v>2578.1142857142863</v>
      </c>
      <c r="Q14" s="122">
        <f>N14*P14/1000</f>
        <v>1182.374773714286</v>
      </c>
      <c r="R14" s="122">
        <f>P14*K14/1000</f>
        <v>82.680125142857165</v>
      </c>
      <c r="S14" s="122"/>
      <c r="T14" s="122">
        <f>$AJ14*1000*$AN14*0.01*$N14*0.001</f>
        <v>1182.374773714286</v>
      </c>
      <c r="U14" s="122">
        <f>$AJ14*1000*$AN14*0.01*$K14*0.001</f>
        <v>82.680125142857179</v>
      </c>
      <c r="V14" s="123"/>
      <c r="W14" s="122"/>
      <c r="X14" s="122"/>
      <c r="Y14" s="122"/>
      <c r="Z14" s="122"/>
      <c r="AG14" s="124">
        <v>0.7</v>
      </c>
      <c r="AH14" s="1">
        <v>10.8</v>
      </c>
      <c r="AI14" s="1"/>
      <c r="AJ14" s="124">
        <f>IF(AH14/AG14&gt;0, AH14/AG14,"")</f>
        <v>15.428571428571431</v>
      </c>
      <c r="AK14" s="1" t="s">
        <v>2</v>
      </c>
      <c r="AL14" s="122"/>
      <c r="AM14" s="122"/>
      <c r="AN14" s="122">
        <v>16.71</v>
      </c>
      <c r="AO14" s="122">
        <v>50.727272727272698</v>
      </c>
      <c r="AP14" s="122">
        <v>40.909090909090914</v>
      </c>
      <c r="AQ14" s="122">
        <v>196.36363636363643</v>
      </c>
      <c r="AR14" s="122">
        <v>14.72727272727273</v>
      </c>
    </row>
    <row r="15" spans="1:44" s="5" customFormat="1">
      <c r="A15" s="75">
        <v>14</v>
      </c>
      <c r="B15" s="108">
        <v>2001</v>
      </c>
      <c r="C15" s="118" t="s">
        <v>139</v>
      </c>
      <c r="D15" s="9" t="s">
        <v>108</v>
      </c>
      <c r="E15" s="9" t="s">
        <v>17</v>
      </c>
      <c r="F15" s="9" t="s">
        <v>37</v>
      </c>
      <c r="G15" s="9" t="s">
        <v>48</v>
      </c>
      <c r="H15" s="17">
        <v>36980</v>
      </c>
      <c r="I15" s="17"/>
      <c r="J15" s="18"/>
      <c r="K15" s="122">
        <v>53.074999999999989</v>
      </c>
      <c r="L15" s="122">
        <v>23.814999999999998</v>
      </c>
      <c r="M15" s="122">
        <v>0.5</v>
      </c>
      <c r="N15" s="122">
        <v>442.38499999999993</v>
      </c>
      <c r="O15" s="122">
        <v>9.36</v>
      </c>
      <c r="P15" s="122">
        <f>AJ15*1000*AN15/100</f>
        <v>1306.7999999999995</v>
      </c>
      <c r="Q15" s="122">
        <f>N15*P15/1000</f>
        <v>578.10871799999961</v>
      </c>
      <c r="R15" s="122">
        <f>K15*P15/1000</f>
        <v>69.358409999999964</v>
      </c>
      <c r="S15" s="122"/>
      <c r="T15" s="122">
        <f>$AJ15*1000*$AN15*0.01*$N15*0.001</f>
        <v>578.10871799999961</v>
      </c>
      <c r="U15" s="122">
        <f>$AJ15*1000*$AN15*0.01*$K15*0.001</f>
        <v>69.358409999999964</v>
      </c>
      <c r="V15" s="123"/>
      <c r="W15" s="122"/>
      <c r="X15" s="122"/>
      <c r="Y15" s="122"/>
      <c r="Z15" s="122"/>
      <c r="AA15" s="24"/>
      <c r="AB15" s="24"/>
      <c r="AC15" s="24"/>
      <c r="AD15" s="24"/>
      <c r="AE15" s="8"/>
      <c r="AF15" s="8"/>
      <c r="AG15" s="124">
        <v>0.7</v>
      </c>
      <c r="AH15" s="1">
        <v>29.7</v>
      </c>
      <c r="AI15" s="1"/>
      <c r="AJ15" s="124">
        <f>IF(AH15/AG15&gt;0, AH15/AG15,"")</f>
        <v>42.428571428571431</v>
      </c>
      <c r="AK15" s="1" t="s">
        <v>5</v>
      </c>
      <c r="AL15" s="122"/>
      <c r="AM15" s="122"/>
      <c r="AN15" s="122">
        <v>3.0799999999999992</v>
      </c>
      <c r="AO15" s="122">
        <v>31.500000000000004</v>
      </c>
      <c r="AP15" s="122">
        <v>40.500000000000007</v>
      </c>
      <c r="AQ15" s="122">
        <v>94.500000000000014</v>
      </c>
      <c r="AR15" s="122">
        <v>4.5000000000000009</v>
      </c>
    </row>
    <row r="16" spans="1:44" s="5" customFormat="1">
      <c r="A16" s="75">
        <v>15</v>
      </c>
      <c r="B16" s="108">
        <v>2001</v>
      </c>
      <c r="C16" s="118" t="s">
        <v>139</v>
      </c>
      <c r="D16" s="9" t="s">
        <v>108</v>
      </c>
      <c r="E16" s="9" t="s">
        <v>26</v>
      </c>
      <c r="F16" s="9" t="s">
        <v>30</v>
      </c>
      <c r="G16" s="4" t="s">
        <v>127</v>
      </c>
      <c r="H16" s="17">
        <v>37001</v>
      </c>
      <c r="I16" s="17"/>
      <c r="J16" s="18"/>
      <c r="K16" s="122"/>
      <c r="L16" s="122"/>
      <c r="M16" s="122"/>
      <c r="N16" s="122"/>
      <c r="O16" s="122"/>
      <c r="P16" s="122"/>
      <c r="Q16" s="122"/>
      <c r="R16" s="122"/>
      <c r="S16" s="122"/>
      <c r="T16" s="122"/>
      <c r="U16" s="122"/>
      <c r="V16" s="123"/>
      <c r="W16" s="122"/>
      <c r="X16" s="122"/>
      <c r="Y16" s="122"/>
      <c r="Z16" s="122"/>
      <c r="AA16" s="24"/>
      <c r="AB16" s="24"/>
      <c r="AC16" s="24"/>
      <c r="AD16" s="24"/>
      <c r="AE16" s="8"/>
      <c r="AF16" s="8"/>
      <c r="AG16" s="124">
        <v>0.7</v>
      </c>
      <c r="AH16" s="1">
        <v>0.66</v>
      </c>
      <c r="AI16" s="1"/>
      <c r="AJ16" s="122"/>
      <c r="AK16" s="1"/>
      <c r="AL16" s="122"/>
      <c r="AM16" s="122"/>
      <c r="AN16" s="122"/>
      <c r="AO16" s="122"/>
      <c r="AP16" s="122"/>
      <c r="AQ16" s="122"/>
      <c r="AR16" s="122"/>
    </row>
    <row r="17" spans="1:44" s="5" customFormat="1">
      <c r="A17" s="75">
        <v>16</v>
      </c>
      <c r="B17" s="108">
        <v>2001</v>
      </c>
      <c r="C17" s="118" t="s">
        <v>139</v>
      </c>
      <c r="D17" s="9" t="s">
        <v>108</v>
      </c>
      <c r="E17" s="9" t="s">
        <v>25</v>
      </c>
      <c r="F17" s="9" t="s">
        <v>35</v>
      </c>
      <c r="G17" s="9" t="s">
        <v>36</v>
      </c>
      <c r="H17" s="17">
        <v>37020</v>
      </c>
      <c r="I17" s="17">
        <v>37021</v>
      </c>
      <c r="J17" s="18">
        <v>1</v>
      </c>
      <c r="K17" s="122"/>
      <c r="L17" s="122"/>
      <c r="M17" s="122"/>
      <c r="N17" s="122"/>
      <c r="O17" s="122"/>
      <c r="P17" s="122"/>
      <c r="Q17" s="122"/>
      <c r="R17" s="122"/>
      <c r="S17" s="122">
        <f>AJ17*AM17*AN17*0.01</f>
        <v>2378.5714285714284</v>
      </c>
      <c r="T17" s="122">
        <f>S17*0.4089</f>
        <v>972.59785714285704</v>
      </c>
      <c r="U17" s="122">
        <f>S17*0.0263</f>
        <v>62.556428571428569</v>
      </c>
      <c r="V17" s="123"/>
      <c r="W17" s="122"/>
      <c r="X17" s="122"/>
      <c r="Y17" s="122"/>
      <c r="Z17" s="122"/>
      <c r="AA17" s="24"/>
      <c r="AB17" s="24"/>
      <c r="AC17" s="24"/>
      <c r="AD17" s="24"/>
      <c r="AE17" s="8"/>
      <c r="AF17" s="8"/>
      <c r="AG17" s="124">
        <v>0.7</v>
      </c>
      <c r="AH17" s="1">
        <v>1.5</v>
      </c>
      <c r="AI17" s="1"/>
      <c r="AJ17" s="124">
        <f>IF(AH17/AG17&gt;0, AH17/AG17,"")</f>
        <v>2.1428571428571428</v>
      </c>
      <c r="AK17" s="1" t="s">
        <v>67</v>
      </c>
      <c r="AL17" s="122"/>
      <c r="AM17" s="122">
        <v>3000</v>
      </c>
      <c r="AN17" s="122">
        <v>37</v>
      </c>
      <c r="AO17" s="122"/>
      <c r="AP17" s="122"/>
      <c r="AQ17" s="122"/>
      <c r="AR17" s="122"/>
    </row>
    <row r="18" spans="1:44" s="5" customFormat="1">
      <c r="A18" s="75">
        <v>17</v>
      </c>
      <c r="B18" s="108">
        <v>2001</v>
      </c>
      <c r="C18" s="118" t="s">
        <v>139</v>
      </c>
      <c r="D18" s="9" t="s">
        <v>108</v>
      </c>
      <c r="E18" s="9" t="s">
        <v>17</v>
      </c>
      <c r="F18" s="9" t="s">
        <v>37</v>
      </c>
      <c r="G18" s="9" t="s">
        <v>48</v>
      </c>
      <c r="H18" s="17">
        <v>37022</v>
      </c>
      <c r="I18" s="17"/>
      <c r="J18" s="18"/>
      <c r="K18" s="122">
        <v>53.074999999999989</v>
      </c>
      <c r="L18" s="122">
        <v>23.814999999999998</v>
      </c>
      <c r="M18" s="122">
        <v>0.5</v>
      </c>
      <c r="N18" s="122">
        <v>442.38499999999993</v>
      </c>
      <c r="O18" s="122">
        <v>9.36</v>
      </c>
      <c r="P18" s="122">
        <f>AJ18*1000*AN18/100</f>
        <v>1539.9999999999998</v>
      </c>
      <c r="Q18" s="122">
        <f>N18*P18/1000</f>
        <v>681.27289999999982</v>
      </c>
      <c r="R18" s="122">
        <f>K18*P18/1000</f>
        <v>81.735499999999973</v>
      </c>
      <c r="S18" s="122"/>
      <c r="T18" s="122">
        <f>$AJ18*1000*$AN18*0.01*$N18*0.001</f>
        <v>681.27289999999982</v>
      </c>
      <c r="U18" s="122">
        <f>$AJ18*1000*$AN18*0.01*$K18*0.001</f>
        <v>81.735499999999973</v>
      </c>
      <c r="V18" s="123"/>
      <c r="W18" s="122"/>
      <c r="X18" s="122"/>
      <c r="Y18" s="122"/>
      <c r="Z18" s="122"/>
      <c r="AA18" s="24"/>
      <c r="AB18" s="24"/>
      <c r="AC18" s="24"/>
      <c r="AD18" s="24"/>
      <c r="AE18" s="8"/>
      <c r="AF18" s="8"/>
      <c r="AG18" s="124">
        <v>0.7</v>
      </c>
      <c r="AH18" s="1">
        <v>35</v>
      </c>
      <c r="AI18" s="1"/>
      <c r="AJ18" s="124">
        <f>IF(AH18/AG18&gt;0, AH18/AG18,"")</f>
        <v>50</v>
      </c>
      <c r="AK18" s="1" t="s">
        <v>5</v>
      </c>
      <c r="AL18" s="122"/>
      <c r="AM18" s="122"/>
      <c r="AN18" s="122">
        <v>3.0799999999999992</v>
      </c>
      <c r="AO18" s="122">
        <v>37.121212121212125</v>
      </c>
      <c r="AP18" s="122">
        <v>21.212121212121215</v>
      </c>
      <c r="AQ18" s="122">
        <v>95.454545454545467</v>
      </c>
      <c r="AR18" s="122">
        <v>5.3030303030303036</v>
      </c>
    </row>
    <row r="19" spans="1:44">
      <c r="A19" s="75">
        <v>18</v>
      </c>
      <c r="B19" s="108">
        <v>2001</v>
      </c>
      <c r="C19" s="118" t="s">
        <v>139</v>
      </c>
      <c r="D19" s="9" t="s">
        <v>108</v>
      </c>
      <c r="E19" s="9" t="s">
        <v>26</v>
      </c>
      <c r="F19" s="9" t="s">
        <v>31</v>
      </c>
      <c r="G19" s="9" t="s">
        <v>32</v>
      </c>
      <c r="H19" s="17">
        <v>37033</v>
      </c>
      <c r="I19" s="17"/>
      <c r="J19" s="18"/>
      <c r="K19" s="122"/>
      <c r="L19" s="122"/>
      <c r="M19" s="122"/>
      <c r="N19" s="122"/>
      <c r="O19" s="122"/>
      <c r="P19" s="122"/>
      <c r="Q19" s="122"/>
      <c r="R19" s="122"/>
      <c r="S19" s="122"/>
      <c r="T19" s="122"/>
      <c r="U19" s="122"/>
      <c r="V19" s="123"/>
      <c r="W19" s="122"/>
      <c r="X19" s="122"/>
      <c r="Y19" s="122"/>
      <c r="Z19" s="122"/>
      <c r="AG19" s="124">
        <v>0.7</v>
      </c>
      <c r="AH19" s="1"/>
      <c r="AI19" s="1"/>
      <c r="AJ19" s="122"/>
      <c r="AL19" s="122"/>
      <c r="AM19" s="122"/>
      <c r="AN19" s="122"/>
      <c r="AO19" s="122"/>
      <c r="AP19" s="122"/>
      <c r="AQ19" s="122"/>
      <c r="AR19" s="122"/>
    </row>
    <row r="20" spans="1:44">
      <c r="A20" s="75">
        <v>19</v>
      </c>
      <c r="B20" s="108">
        <v>2001</v>
      </c>
      <c r="C20" s="118" t="s">
        <v>139</v>
      </c>
      <c r="D20" s="9" t="s">
        <v>108</v>
      </c>
      <c r="E20" s="9" t="s">
        <v>25</v>
      </c>
      <c r="F20" s="9" t="s">
        <v>29</v>
      </c>
      <c r="G20" s="9" t="s">
        <v>47</v>
      </c>
      <c r="H20" s="17">
        <v>37036</v>
      </c>
      <c r="I20" s="17">
        <v>37052</v>
      </c>
      <c r="J20" s="18">
        <v>2</v>
      </c>
      <c r="K20" s="122"/>
      <c r="L20" s="122"/>
      <c r="M20" s="122"/>
      <c r="N20" s="122"/>
      <c r="O20" s="122"/>
      <c r="P20" s="122"/>
      <c r="Q20" s="122"/>
      <c r="R20" s="122"/>
      <c r="S20" s="122">
        <f>AJ20*AM20*AL20</f>
        <v>1285.7142857142858</v>
      </c>
      <c r="T20" s="122">
        <f>S20*0.4089</f>
        <v>525.7285714285714</v>
      </c>
      <c r="U20" s="122">
        <f>S20*0.0263</f>
        <v>33.814285714285717</v>
      </c>
      <c r="V20" s="123"/>
      <c r="W20" s="122"/>
      <c r="X20" s="122"/>
      <c r="Y20" s="122"/>
      <c r="Z20" s="122"/>
      <c r="AG20" s="124">
        <v>0.7</v>
      </c>
      <c r="AH20" s="124">
        <v>40</v>
      </c>
      <c r="AI20" s="124"/>
      <c r="AJ20" s="124">
        <f>AH20/AG20</f>
        <v>57.142857142857146</v>
      </c>
      <c r="AK20" s="1" t="s">
        <v>66</v>
      </c>
      <c r="AL20" s="122">
        <v>15</v>
      </c>
      <c r="AM20" s="122">
        <v>1.5</v>
      </c>
      <c r="AN20" s="122"/>
      <c r="AO20" s="122"/>
      <c r="AP20" s="122"/>
      <c r="AQ20" s="122"/>
      <c r="AR20" s="122"/>
    </row>
    <row r="21" spans="1:44">
      <c r="A21" s="75">
        <v>20</v>
      </c>
      <c r="B21" s="108">
        <v>2001</v>
      </c>
      <c r="C21" s="118" t="s">
        <v>139</v>
      </c>
      <c r="D21" s="9" t="s">
        <v>108</v>
      </c>
      <c r="E21" s="9" t="s">
        <v>25</v>
      </c>
      <c r="F21" s="9" t="s">
        <v>35</v>
      </c>
      <c r="G21" s="9" t="s">
        <v>36</v>
      </c>
      <c r="H21" s="17">
        <v>37097</v>
      </c>
      <c r="I21" s="17">
        <v>37098</v>
      </c>
      <c r="J21" s="18">
        <v>3</v>
      </c>
      <c r="K21" s="122"/>
      <c r="L21" s="122"/>
      <c r="M21" s="122"/>
      <c r="N21" s="122"/>
      <c r="O21" s="122"/>
      <c r="P21" s="122"/>
      <c r="Q21" s="122"/>
      <c r="R21" s="122"/>
      <c r="S21" s="122">
        <f>AJ21*AM21*AN21*0.01</f>
        <v>1585.7142857142858</v>
      </c>
      <c r="T21" s="122">
        <f>S21*0.4089</f>
        <v>648.39857142857147</v>
      </c>
      <c r="U21" s="122">
        <f>S21*0.0263</f>
        <v>41.704285714285717</v>
      </c>
      <c r="V21" s="123"/>
      <c r="W21" s="122"/>
      <c r="X21" s="122"/>
      <c r="Y21" s="122"/>
      <c r="Z21" s="122"/>
      <c r="AG21" s="124">
        <v>0.7</v>
      </c>
      <c r="AH21" s="1">
        <v>1</v>
      </c>
      <c r="AI21" s="1"/>
      <c r="AJ21" s="124">
        <f>IF(AH21/AG21&gt;0, AH21/AG21,"")</f>
        <v>1.4285714285714286</v>
      </c>
      <c r="AK21" s="1" t="s">
        <v>67</v>
      </c>
      <c r="AL21" s="122"/>
      <c r="AM21" s="122">
        <v>3000</v>
      </c>
      <c r="AN21" s="122">
        <v>37</v>
      </c>
      <c r="AO21" s="122"/>
      <c r="AP21" s="122"/>
      <c r="AQ21" s="122"/>
      <c r="AR21" s="122"/>
    </row>
    <row r="22" spans="1:44">
      <c r="A22" s="75">
        <v>21</v>
      </c>
      <c r="B22" s="108">
        <v>2001</v>
      </c>
      <c r="C22" s="118" t="s">
        <v>139</v>
      </c>
      <c r="D22" s="9" t="s">
        <v>108</v>
      </c>
      <c r="E22" s="9" t="s">
        <v>25</v>
      </c>
      <c r="F22" s="9" t="s">
        <v>35</v>
      </c>
      <c r="G22" s="9" t="s">
        <v>36</v>
      </c>
      <c r="H22" s="17">
        <v>37124</v>
      </c>
      <c r="I22" s="17">
        <v>37126</v>
      </c>
      <c r="J22" s="18">
        <v>4</v>
      </c>
      <c r="K22" s="122"/>
      <c r="L22" s="122"/>
      <c r="M22" s="122"/>
      <c r="N22" s="122"/>
      <c r="O22" s="122"/>
      <c r="P22" s="122"/>
      <c r="Q22" s="122"/>
      <c r="R22" s="122"/>
      <c r="S22" s="122">
        <f>AJ22*AM22*AN22*0.01</f>
        <v>792.85714285714289</v>
      </c>
      <c r="T22" s="122">
        <f>S22*0.4089</f>
        <v>324.19928571428574</v>
      </c>
      <c r="U22" s="122">
        <f>S22*0.0263</f>
        <v>20.852142857142859</v>
      </c>
      <c r="V22" s="123"/>
      <c r="W22" s="122"/>
      <c r="X22" s="122"/>
      <c r="Y22" s="122"/>
      <c r="Z22" s="122"/>
      <c r="AG22" s="124">
        <v>0.7</v>
      </c>
      <c r="AH22" s="1">
        <v>0.5</v>
      </c>
      <c r="AI22" s="1"/>
      <c r="AJ22" s="124">
        <f>IF(AH22/AG22&gt;0, AH22/AG22,"")</f>
        <v>0.7142857142857143</v>
      </c>
      <c r="AK22" s="1" t="s">
        <v>67</v>
      </c>
      <c r="AL22" s="122"/>
      <c r="AM22" s="122">
        <v>3000</v>
      </c>
      <c r="AN22" s="122">
        <v>37</v>
      </c>
      <c r="AO22" s="122"/>
      <c r="AP22" s="122"/>
      <c r="AQ22" s="122"/>
      <c r="AR22" s="122"/>
    </row>
    <row r="23" spans="1:44">
      <c r="A23" s="75">
        <v>22</v>
      </c>
      <c r="B23" s="111">
        <v>2002</v>
      </c>
      <c r="C23" s="117" t="s">
        <v>138</v>
      </c>
      <c r="D23" s="9" t="s">
        <v>108</v>
      </c>
      <c r="E23" s="9" t="s">
        <v>17</v>
      </c>
      <c r="F23" s="9" t="s">
        <v>37</v>
      </c>
      <c r="G23" s="34" t="s">
        <v>48</v>
      </c>
      <c r="H23" s="17">
        <v>37320</v>
      </c>
      <c r="I23" s="17"/>
      <c r="J23" s="18"/>
      <c r="K23" s="122">
        <v>53.075000000000003</v>
      </c>
      <c r="L23" s="122">
        <v>23.815000000000001</v>
      </c>
      <c r="M23" s="122">
        <v>0.5</v>
      </c>
      <c r="N23" s="122">
        <v>442.38499999999999</v>
      </c>
      <c r="O23" s="122">
        <v>9.36</v>
      </c>
      <c r="P23" s="122">
        <f>AJ23*1000*AN23/100</f>
        <v>1320.0000000000002</v>
      </c>
      <c r="Q23" s="122">
        <f>N23*P23/1000</f>
        <v>583.94820000000004</v>
      </c>
      <c r="R23" s="122">
        <f>K23*P23/1000</f>
        <v>70.059000000000012</v>
      </c>
      <c r="S23" s="122"/>
      <c r="T23" s="122">
        <f>$AJ23*1000*$AN23*0.01*$N23*0.001</f>
        <v>583.94820000000004</v>
      </c>
      <c r="U23" s="122">
        <f>$AJ23*1000*$AN23*0.01*$K23*0.001</f>
        <v>70.059000000000012</v>
      </c>
      <c r="V23" s="123"/>
      <c r="W23" s="122"/>
      <c r="X23" s="122"/>
      <c r="Y23" s="122"/>
      <c r="Z23" s="122"/>
      <c r="AG23" s="124">
        <v>1.4</v>
      </c>
      <c r="AH23" s="1">
        <v>60</v>
      </c>
      <c r="AI23" s="1"/>
      <c r="AJ23" s="124">
        <f>IF(AH23/AG23&gt;0, AH23/AG23,"")</f>
        <v>42.857142857142861</v>
      </c>
      <c r="AK23" s="1" t="s">
        <v>5</v>
      </c>
      <c r="AL23" s="122"/>
      <c r="AM23" s="122"/>
      <c r="AN23" s="122">
        <v>3.08</v>
      </c>
      <c r="AO23" s="122">
        <v>30.000000000000004</v>
      </c>
      <c r="AP23" s="122">
        <v>17.142857142857142</v>
      </c>
      <c r="AQ23" s="122">
        <v>77.142857142857153</v>
      </c>
      <c r="AR23" s="122">
        <v>4.2857142857142856</v>
      </c>
    </row>
    <row r="24" spans="1:44">
      <c r="A24" s="75">
        <v>23</v>
      </c>
      <c r="B24" s="111">
        <v>2002</v>
      </c>
      <c r="C24" s="117" t="s">
        <v>138</v>
      </c>
      <c r="D24" s="9" t="s">
        <v>108</v>
      </c>
      <c r="E24" s="9" t="s">
        <v>17</v>
      </c>
      <c r="F24" s="9" t="s">
        <v>37</v>
      </c>
      <c r="G24" s="9" t="s">
        <v>48</v>
      </c>
      <c r="H24" s="17">
        <v>37323</v>
      </c>
      <c r="I24" s="17"/>
      <c r="J24" s="18"/>
      <c r="K24" s="122">
        <v>53.075000000000003</v>
      </c>
      <c r="L24" s="122">
        <v>23.815000000000001</v>
      </c>
      <c r="M24" s="122">
        <v>0.5</v>
      </c>
      <c r="N24" s="122">
        <v>442.38499999999999</v>
      </c>
      <c r="O24" s="122">
        <v>9.36</v>
      </c>
      <c r="P24" s="122">
        <f>AJ24*1000*AN24/100</f>
        <v>616</v>
      </c>
      <c r="Q24" s="122">
        <f>N24*P24/1000</f>
        <v>272.50915999999995</v>
      </c>
      <c r="R24" s="122">
        <f>K24*P24/1000</f>
        <v>32.694200000000002</v>
      </c>
      <c r="S24" s="122"/>
      <c r="T24" s="122">
        <f>$AJ24*1000*$AN24*0.01*$N24*0.001</f>
        <v>272.50915999999995</v>
      </c>
      <c r="U24" s="122">
        <f>$AJ24*1000*$AN24*0.01*$K24*0.001</f>
        <v>32.694200000000002</v>
      </c>
      <c r="V24" s="123"/>
      <c r="W24" s="122"/>
      <c r="X24" s="122"/>
      <c r="Y24" s="122"/>
      <c r="Z24" s="122"/>
      <c r="AG24" s="124">
        <v>1.4</v>
      </c>
      <c r="AH24" s="1">
        <v>28</v>
      </c>
      <c r="AI24" s="1"/>
      <c r="AJ24" s="124">
        <f>IF(AH24/AG24&gt;0, AH24/AG24,"")</f>
        <v>20</v>
      </c>
      <c r="AK24" s="1" t="s">
        <v>5</v>
      </c>
      <c r="AL24" s="122"/>
      <c r="AM24" s="122"/>
      <c r="AN24" s="122">
        <v>3.08</v>
      </c>
      <c r="AO24" s="122">
        <v>14</v>
      </c>
      <c r="AP24" s="122">
        <v>8.0000000000000018</v>
      </c>
      <c r="AQ24" s="122">
        <v>36</v>
      </c>
      <c r="AR24" s="122">
        <v>2.0000000000000004</v>
      </c>
    </row>
    <row r="25" spans="1:44">
      <c r="A25" s="75">
        <v>24</v>
      </c>
      <c r="B25" s="111">
        <v>2002</v>
      </c>
      <c r="C25" s="117" t="s">
        <v>138</v>
      </c>
      <c r="D25" s="9" t="s">
        <v>108</v>
      </c>
      <c r="E25" s="9" t="s">
        <v>25</v>
      </c>
      <c r="F25" s="9" t="s">
        <v>29</v>
      </c>
      <c r="G25" s="9" t="s">
        <v>44</v>
      </c>
      <c r="H25" s="17">
        <v>37343</v>
      </c>
      <c r="I25" s="17">
        <v>37357</v>
      </c>
      <c r="J25" s="18">
        <v>1</v>
      </c>
      <c r="K25" s="122"/>
      <c r="L25" s="122"/>
      <c r="M25" s="122"/>
      <c r="N25" s="122"/>
      <c r="O25" s="122"/>
      <c r="P25" s="122"/>
      <c r="Q25" s="122"/>
      <c r="R25" s="122"/>
      <c r="S25" s="122">
        <f>$AJ25*100</f>
        <v>1071.4285714285716</v>
      </c>
      <c r="T25" s="122">
        <f>S25*0.4089</f>
        <v>438.10714285714289</v>
      </c>
      <c r="U25" s="122">
        <f>S25*0.0263</f>
        <v>28.178571428571434</v>
      </c>
      <c r="V25" s="123"/>
      <c r="W25" s="122"/>
      <c r="X25" s="122"/>
      <c r="Y25" s="122"/>
      <c r="Z25" s="122"/>
      <c r="AG25" s="124">
        <v>1.4</v>
      </c>
      <c r="AH25" s="1">
        <v>25.2</v>
      </c>
      <c r="AI25" s="1"/>
      <c r="AJ25" s="135">
        <v>10.714285714285715</v>
      </c>
      <c r="AK25" s="136" t="s">
        <v>66</v>
      </c>
      <c r="AL25" s="122">
        <v>14</v>
      </c>
      <c r="AM25" s="122">
        <v>12</v>
      </c>
      <c r="AN25" s="122"/>
      <c r="AO25" s="122"/>
      <c r="AP25" s="122"/>
      <c r="AQ25" s="122"/>
      <c r="AR25" s="122"/>
    </row>
    <row r="26" spans="1:44">
      <c r="A26" s="75">
        <v>25</v>
      </c>
      <c r="B26" s="111">
        <v>2002</v>
      </c>
      <c r="C26" s="117" t="s">
        <v>138</v>
      </c>
      <c r="D26" s="9" t="s">
        <v>108</v>
      </c>
      <c r="E26" s="9" t="s">
        <v>17</v>
      </c>
      <c r="F26" s="9" t="s">
        <v>37</v>
      </c>
      <c r="G26" s="9" t="s">
        <v>48</v>
      </c>
      <c r="H26" s="17">
        <v>37358</v>
      </c>
      <c r="I26" s="17"/>
      <c r="J26" s="18"/>
      <c r="K26" s="122">
        <v>53.075000000000003</v>
      </c>
      <c r="L26" s="122">
        <v>23.815000000000001</v>
      </c>
      <c r="M26" s="122">
        <v>0.5</v>
      </c>
      <c r="N26" s="122">
        <v>442.38499999999999</v>
      </c>
      <c r="O26" s="122">
        <v>9.36</v>
      </c>
      <c r="P26" s="122">
        <f>AJ26*1000*AN26/100</f>
        <v>1320.0000000000002</v>
      </c>
      <c r="Q26" s="122">
        <f>N26*P26/1000</f>
        <v>583.94820000000004</v>
      </c>
      <c r="R26" s="122">
        <f>K26*P26/1000</f>
        <v>70.059000000000012</v>
      </c>
      <c r="S26" s="122"/>
      <c r="T26" s="122">
        <f>$AJ26*1000*$AN26*0.01*$N26*0.001</f>
        <v>583.94820000000004</v>
      </c>
      <c r="U26" s="122">
        <f>$AJ26*1000*$AN26*0.01*$K26*0.001</f>
        <v>70.059000000000012</v>
      </c>
      <c r="V26" s="123"/>
      <c r="W26" s="122"/>
      <c r="X26" s="122"/>
      <c r="Y26" s="122"/>
      <c r="Z26" s="122"/>
      <c r="AG26" s="124">
        <v>1.4</v>
      </c>
      <c r="AH26" s="1">
        <v>60</v>
      </c>
      <c r="AI26" s="1"/>
      <c r="AJ26" s="124">
        <f>IF(AH26/AG26&gt;0, AH26/AG26,"")</f>
        <v>42.857142857142861</v>
      </c>
      <c r="AK26" s="1" t="s">
        <v>5</v>
      </c>
      <c r="AL26" s="122"/>
      <c r="AM26" s="122"/>
      <c r="AN26" s="122">
        <v>3.08</v>
      </c>
      <c r="AO26" s="122">
        <v>30.000000000000004</v>
      </c>
      <c r="AP26" s="122">
        <v>17.142857142857142</v>
      </c>
      <c r="AQ26" s="122">
        <v>77.142857142857153</v>
      </c>
      <c r="AR26" s="122">
        <v>4.2857142857142856</v>
      </c>
    </row>
    <row r="27" spans="1:44">
      <c r="A27" s="75">
        <v>26</v>
      </c>
      <c r="B27" s="111">
        <v>2002</v>
      </c>
      <c r="C27" s="117" t="s">
        <v>138</v>
      </c>
      <c r="D27" s="9" t="s">
        <v>108</v>
      </c>
      <c r="E27" s="9" t="s">
        <v>25</v>
      </c>
      <c r="F27" s="9" t="s">
        <v>29</v>
      </c>
      <c r="G27" s="9" t="s">
        <v>47</v>
      </c>
      <c r="H27" s="17">
        <v>37385</v>
      </c>
      <c r="I27" s="17">
        <v>37400</v>
      </c>
      <c r="J27" s="18">
        <v>2</v>
      </c>
      <c r="K27" s="122"/>
      <c r="L27" s="122"/>
      <c r="M27" s="122"/>
      <c r="N27" s="122"/>
      <c r="O27" s="122"/>
      <c r="P27" s="122"/>
      <c r="Q27" s="122"/>
      <c r="R27" s="122"/>
      <c r="S27" s="122">
        <f>$AJ27*100</f>
        <v>3809.5238095238096</v>
      </c>
      <c r="T27" s="122">
        <f>S27*0.4089</f>
        <v>1557.7142857142858</v>
      </c>
      <c r="U27" s="122">
        <f>S27*0.0263</f>
        <v>100.19047619047619</v>
      </c>
      <c r="V27" s="123"/>
      <c r="W27" s="122"/>
      <c r="X27" s="122"/>
      <c r="Y27" s="122"/>
      <c r="Z27" s="122"/>
      <c r="AG27" s="124">
        <v>1.4</v>
      </c>
      <c r="AH27" s="1">
        <v>12</v>
      </c>
      <c r="AI27" s="1"/>
      <c r="AJ27" s="135">
        <v>38.095238095238095</v>
      </c>
      <c r="AK27" s="136" t="s">
        <v>66</v>
      </c>
      <c r="AL27" s="122">
        <v>15</v>
      </c>
      <c r="AM27" s="122">
        <v>1.5</v>
      </c>
      <c r="AN27" s="122"/>
      <c r="AO27" s="122"/>
      <c r="AP27" s="122"/>
      <c r="AQ27" s="122"/>
      <c r="AR27" s="122"/>
    </row>
    <row r="28" spans="1:44">
      <c r="A28" s="75">
        <v>27</v>
      </c>
      <c r="B28" s="111">
        <v>2002</v>
      </c>
      <c r="C28" s="117" t="s">
        <v>138</v>
      </c>
      <c r="D28" s="9" t="s">
        <v>108</v>
      </c>
      <c r="E28" s="9" t="s">
        <v>25</v>
      </c>
      <c r="F28" s="9" t="s">
        <v>29</v>
      </c>
      <c r="G28" s="9" t="s">
        <v>47</v>
      </c>
      <c r="H28" s="17">
        <v>37401</v>
      </c>
      <c r="I28" s="17">
        <v>37407</v>
      </c>
      <c r="J28" s="18">
        <v>2</v>
      </c>
      <c r="K28" s="122"/>
      <c r="L28" s="122"/>
      <c r="M28" s="122"/>
      <c r="N28" s="122"/>
      <c r="O28" s="122"/>
      <c r="P28" s="122"/>
      <c r="Q28" s="122"/>
      <c r="R28" s="122"/>
      <c r="S28" s="122">
        <f>$AJ28*100</f>
        <v>1587.3015873015875</v>
      </c>
      <c r="T28" s="122">
        <f>S28*0.4089</f>
        <v>649.04761904761904</v>
      </c>
      <c r="U28" s="122">
        <f>S28*0.0263</f>
        <v>41.746031746031754</v>
      </c>
      <c r="V28" s="123"/>
      <c r="W28" s="122"/>
      <c r="X28" s="122"/>
      <c r="Y28" s="122"/>
      <c r="Z28" s="122"/>
      <c r="AG28" s="124">
        <v>1.4</v>
      </c>
      <c r="AH28" s="1">
        <v>2</v>
      </c>
      <c r="AI28" s="1"/>
      <c r="AJ28" s="135">
        <v>15.873015873015873</v>
      </c>
      <c r="AK28" s="136" t="s">
        <v>66</v>
      </c>
      <c r="AL28" s="122">
        <v>6</v>
      </c>
      <c r="AM28" s="122">
        <v>1.5</v>
      </c>
      <c r="AN28" s="122"/>
      <c r="AO28" s="122"/>
      <c r="AP28" s="122"/>
      <c r="AQ28" s="122"/>
      <c r="AR28" s="122"/>
    </row>
    <row r="29" spans="1:44">
      <c r="A29" s="75">
        <v>28</v>
      </c>
      <c r="B29" s="111">
        <v>2002</v>
      </c>
      <c r="C29" s="117" t="s">
        <v>138</v>
      </c>
      <c r="D29" s="9" t="s">
        <v>108</v>
      </c>
      <c r="E29" s="9" t="s">
        <v>25</v>
      </c>
      <c r="F29" s="9" t="s">
        <v>29</v>
      </c>
      <c r="G29" s="9" t="s">
        <v>44</v>
      </c>
      <c r="H29" s="17">
        <v>37403</v>
      </c>
      <c r="I29" s="17">
        <v>37406</v>
      </c>
      <c r="J29" s="18">
        <v>2</v>
      </c>
      <c r="K29" s="122"/>
      <c r="L29" s="122"/>
      <c r="M29" s="122"/>
      <c r="N29" s="122"/>
      <c r="O29" s="122"/>
      <c r="P29" s="122"/>
      <c r="Q29" s="122"/>
      <c r="R29" s="122"/>
      <c r="S29" s="122">
        <f>$AJ29*100</f>
        <v>1507.9365079365082</v>
      </c>
      <c r="T29" s="122">
        <f>S29*0.4089</f>
        <v>616.59523809523819</v>
      </c>
      <c r="U29" s="122">
        <f>S29*0.0263</f>
        <v>39.658730158730165</v>
      </c>
      <c r="V29" s="123"/>
      <c r="W29" s="122"/>
      <c r="X29" s="122"/>
      <c r="Y29" s="122"/>
      <c r="Z29" s="122"/>
      <c r="AG29" s="124">
        <v>1.4</v>
      </c>
      <c r="AH29" s="1">
        <v>7.6</v>
      </c>
      <c r="AI29" s="1"/>
      <c r="AJ29" s="135">
        <v>15.079365079365081</v>
      </c>
      <c r="AK29" s="136" t="s">
        <v>66</v>
      </c>
      <c r="AL29" s="122">
        <v>3</v>
      </c>
      <c r="AM29" s="122">
        <v>12</v>
      </c>
      <c r="AN29" s="122"/>
      <c r="AO29" s="122"/>
      <c r="AP29" s="122"/>
      <c r="AQ29" s="122"/>
      <c r="AR29" s="122"/>
    </row>
    <row r="30" spans="1:44">
      <c r="A30" s="75">
        <v>29</v>
      </c>
      <c r="B30" s="111">
        <v>2002</v>
      </c>
      <c r="C30" s="117" t="s">
        <v>138</v>
      </c>
      <c r="D30" s="9" t="s">
        <v>108</v>
      </c>
      <c r="E30" s="9" t="s">
        <v>25</v>
      </c>
      <c r="F30" s="9" t="s">
        <v>35</v>
      </c>
      <c r="G30" s="9" t="s">
        <v>36</v>
      </c>
      <c r="H30" s="17">
        <v>37420</v>
      </c>
      <c r="I30" s="17">
        <v>37421</v>
      </c>
      <c r="J30" s="18">
        <v>3</v>
      </c>
      <c r="K30" s="122"/>
      <c r="L30" s="122"/>
      <c r="M30" s="122"/>
      <c r="N30" s="122"/>
      <c r="O30" s="122"/>
      <c r="P30" s="122"/>
      <c r="Q30" s="122"/>
      <c r="R30" s="122"/>
      <c r="S30" s="122">
        <f>$AJ30*100</f>
        <v>535.71428571428578</v>
      </c>
      <c r="T30" s="122">
        <f>S30*0.4089</f>
        <v>219.05357142857144</v>
      </c>
      <c r="U30" s="122">
        <f>S30*0.0263</f>
        <v>14.089285714285717</v>
      </c>
      <c r="V30" s="123"/>
      <c r="W30" s="122"/>
      <c r="X30" s="122"/>
      <c r="Y30" s="122"/>
      <c r="Z30" s="122"/>
      <c r="AG30" s="124">
        <v>1.4</v>
      </c>
      <c r="AH30" s="1">
        <v>7.5</v>
      </c>
      <c r="AI30" s="1"/>
      <c r="AJ30" s="124">
        <f t="shared" ref="AJ30:AJ38" si="0">IF(AH30/AG30&gt;0, AH30/AG30,"")</f>
        <v>5.3571428571428577</v>
      </c>
      <c r="AK30" s="1" t="s">
        <v>72</v>
      </c>
      <c r="AL30" s="122"/>
      <c r="AM30" s="122"/>
      <c r="AN30" s="122">
        <v>37</v>
      </c>
      <c r="AO30" s="122"/>
      <c r="AP30" s="122"/>
      <c r="AQ30" s="122"/>
      <c r="AR30" s="122"/>
    </row>
    <row r="31" spans="1:44">
      <c r="A31" s="75">
        <v>30</v>
      </c>
      <c r="B31" s="111">
        <v>2002</v>
      </c>
      <c r="C31" s="117" t="s">
        <v>138</v>
      </c>
      <c r="D31" s="9" t="s">
        <v>108</v>
      </c>
      <c r="E31" s="9" t="s">
        <v>17</v>
      </c>
      <c r="F31" s="9" t="s">
        <v>34</v>
      </c>
      <c r="G31" s="33" t="s">
        <v>21</v>
      </c>
      <c r="H31" s="17">
        <v>37427</v>
      </c>
      <c r="I31" s="17"/>
      <c r="J31" s="18"/>
      <c r="K31" s="122">
        <v>270</v>
      </c>
      <c r="L31" s="122">
        <v>135</v>
      </c>
      <c r="M31" s="122">
        <v>135</v>
      </c>
      <c r="N31" s="122">
        <v>0</v>
      </c>
      <c r="O31" s="122">
        <v>0</v>
      </c>
      <c r="P31" s="122">
        <f>AJ31</f>
        <v>57.142857142857146</v>
      </c>
      <c r="Q31" s="122">
        <f>N31*P31/1000</f>
        <v>0</v>
      </c>
      <c r="R31" s="122">
        <f>P31*K31/1000</f>
        <v>15.428571428571429</v>
      </c>
      <c r="S31" s="122"/>
      <c r="T31" s="122">
        <f>$AJ31*1000*$AN31*0.01*$N31*0.001</f>
        <v>0</v>
      </c>
      <c r="U31" s="122">
        <f>$AJ31*$AN31*0.01*$K31*0.001</f>
        <v>15.428571428571429</v>
      </c>
      <c r="V31" s="123"/>
      <c r="W31" s="122"/>
      <c r="X31" s="122"/>
      <c r="Y31" s="122"/>
      <c r="Z31" s="122"/>
      <c r="AG31" s="124">
        <v>1.4</v>
      </c>
      <c r="AH31" s="1">
        <v>80</v>
      </c>
      <c r="AI31" s="1"/>
      <c r="AJ31" s="124">
        <f t="shared" si="0"/>
        <v>57.142857142857146</v>
      </c>
      <c r="AK31" s="1" t="s">
        <v>3</v>
      </c>
      <c r="AL31" s="122"/>
      <c r="AM31" s="122"/>
      <c r="AN31" s="122">
        <v>100</v>
      </c>
      <c r="AO31" s="122">
        <v>15.428571428571431</v>
      </c>
      <c r="AP31" s="122">
        <v>0</v>
      </c>
      <c r="AQ31" s="122">
        <v>0</v>
      </c>
      <c r="AR31" s="122">
        <v>0</v>
      </c>
    </row>
    <row r="32" spans="1:44">
      <c r="A32" s="75">
        <v>31</v>
      </c>
      <c r="B32" s="111">
        <v>2002</v>
      </c>
      <c r="C32" s="117" t="s">
        <v>138</v>
      </c>
      <c r="D32" s="9" t="s">
        <v>108</v>
      </c>
      <c r="E32" s="9" t="s">
        <v>25</v>
      </c>
      <c r="F32" s="9" t="s">
        <v>35</v>
      </c>
      <c r="G32" s="9" t="s">
        <v>36</v>
      </c>
      <c r="H32" s="17">
        <v>37448</v>
      </c>
      <c r="I32" s="17">
        <v>37449</v>
      </c>
      <c r="J32" s="18">
        <v>3</v>
      </c>
      <c r="K32" s="122"/>
      <c r="L32" s="122"/>
      <c r="M32" s="122"/>
      <c r="N32" s="122"/>
      <c r="O32" s="122"/>
      <c r="P32" s="122"/>
      <c r="Q32" s="122"/>
      <c r="R32" s="122"/>
      <c r="S32" s="122">
        <f>$AJ32*100</f>
        <v>1071.4285714285716</v>
      </c>
      <c r="T32" s="122">
        <f>S32*0.4089</f>
        <v>438.10714285714289</v>
      </c>
      <c r="U32" s="122">
        <f>S32*0.0263</f>
        <v>28.178571428571434</v>
      </c>
      <c r="V32" s="123"/>
      <c r="W32" s="122"/>
      <c r="X32" s="122"/>
      <c r="Y32" s="122"/>
      <c r="Z32" s="122"/>
      <c r="AG32" s="124">
        <v>1.4</v>
      </c>
      <c r="AH32" s="1">
        <v>15</v>
      </c>
      <c r="AI32" s="1"/>
      <c r="AJ32" s="124">
        <f t="shared" si="0"/>
        <v>10.714285714285715</v>
      </c>
      <c r="AK32" s="1" t="s">
        <v>72</v>
      </c>
      <c r="AL32" s="122"/>
      <c r="AM32" s="122"/>
      <c r="AN32" s="122">
        <v>37</v>
      </c>
      <c r="AO32" s="122"/>
      <c r="AP32" s="122"/>
      <c r="AQ32" s="122"/>
      <c r="AR32" s="122"/>
    </row>
    <row r="33" spans="1:44">
      <c r="A33" s="75">
        <v>32</v>
      </c>
      <c r="B33" s="111">
        <v>2002</v>
      </c>
      <c r="C33" s="117" t="s">
        <v>138</v>
      </c>
      <c r="D33" s="9" t="s">
        <v>108</v>
      </c>
      <c r="E33" s="9" t="s">
        <v>25</v>
      </c>
      <c r="F33" s="9" t="s">
        <v>35</v>
      </c>
      <c r="G33" s="9" t="s">
        <v>36</v>
      </c>
      <c r="H33" s="17">
        <v>37484</v>
      </c>
      <c r="I33" s="17">
        <v>37485</v>
      </c>
      <c r="J33" s="18">
        <v>4</v>
      </c>
      <c r="K33" s="122"/>
      <c r="L33" s="122"/>
      <c r="M33" s="122"/>
      <c r="N33" s="122"/>
      <c r="O33" s="122"/>
      <c r="P33" s="122"/>
      <c r="Q33" s="122"/>
      <c r="R33" s="122"/>
      <c r="S33" s="122">
        <f>$AJ33*100</f>
        <v>2678.5714285714289</v>
      </c>
      <c r="T33" s="122">
        <f>S33*0.4089</f>
        <v>1095.2678571428573</v>
      </c>
      <c r="U33" s="122">
        <f>S33*0.0263</f>
        <v>70.446428571428584</v>
      </c>
      <c r="V33" s="123"/>
      <c r="W33" s="122"/>
      <c r="X33" s="122"/>
      <c r="Y33" s="122"/>
      <c r="Z33" s="122"/>
      <c r="AG33" s="124">
        <v>1.4</v>
      </c>
      <c r="AH33" s="1">
        <v>37.5</v>
      </c>
      <c r="AI33" s="1"/>
      <c r="AJ33" s="124">
        <f t="shared" si="0"/>
        <v>26.785714285714288</v>
      </c>
      <c r="AK33" s="1" t="s">
        <v>72</v>
      </c>
      <c r="AL33" s="122"/>
      <c r="AM33" s="122"/>
      <c r="AN33" s="122">
        <v>37</v>
      </c>
      <c r="AO33" s="122"/>
      <c r="AP33" s="122"/>
      <c r="AQ33" s="122"/>
      <c r="AR33" s="122"/>
    </row>
    <row r="34" spans="1:44">
      <c r="A34" s="75">
        <v>33</v>
      </c>
      <c r="B34" s="111">
        <v>2002</v>
      </c>
      <c r="C34" s="117" t="s">
        <v>138</v>
      </c>
      <c r="D34" s="9" t="s">
        <v>108</v>
      </c>
      <c r="E34" s="9" t="s">
        <v>17</v>
      </c>
      <c r="F34" s="9" t="s">
        <v>37</v>
      </c>
      <c r="G34" s="9" t="s">
        <v>48</v>
      </c>
      <c r="H34" s="17">
        <v>37488</v>
      </c>
      <c r="I34" s="17"/>
      <c r="J34" s="18"/>
      <c r="K34" s="122">
        <v>53.075000000000003</v>
      </c>
      <c r="L34" s="122">
        <v>23.815000000000001</v>
      </c>
      <c r="M34" s="122">
        <v>0.5</v>
      </c>
      <c r="N34" s="122">
        <v>442.38499999999999</v>
      </c>
      <c r="O34" s="122">
        <v>9.36</v>
      </c>
      <c r="P34" s="122">
        <f>AJ34*1000*AN34/100</f>
        <v>1760</v>
      </c>
      <c r="Q34" s="122">
        <f>N34*P34/1000</f>
        <v>778.59759999999994</v>
      </c>
      <c r="R34" s="122">
        <f>K34*P34/1000</f>
        <v>93.412000000000006</v>
      </c>
      <c r="S34" s="122"/>
      <c r="T34" s="122">
        <f>$AJ34*1000*$AN34*0.01*$N34*0.001</f>
        <v>778.59759999999994</v>
      </c>
      <c r="U34" s="122">
        <f>$AJ34*1000*$AN34*0.01*$K34*0.001</f>
        <v>93.412000000000006</v>
      </c>
      <c r="V34" s="123"/>
      <c r="W34" s="122"/>
      <c r="X34" s="122"/>
      <c r="Y34" s="122"/>
      <c r="Z34" s="122"/>
      <c r="AG34" s="124">
        <v>1.4</v>
      </c>
      <c r="AH34" s="1">
        <v>80</v>
      </c>
      <c r="AI34" s="1"/>
      <c r="AJ34" s="124">
        <f t="shared" si="0"/>
        <v>57.142857142857146</v>
      </c>
      <c r="AK34" s="1" t="s">
        <v>5</v>
      </c>
      <c r="AL34" s="122"/>
      <c r="AM34" s="122"/>
      <c r="AN34" s="122">
        <v>3.08</v>
      </c>
      <c r="AO34" s="122">
        <v>40</v>
      </c>
      <c r="AP34" s="122">
        <v>22.857142857142858</v>
      </c>
      <c r="AQ34" s="122">
        <v>102.85714285714286</v>
      </c>
      <c r="AR34" s="122">
        <v>5.7142857142857144</v>
      </c>
    </row>
    <row r="35" spans="1:44">
      <c r="A35" s="75">
        <v>34</v>
      </c>
      <c r="B35" s="111">
        <v>2002</v>
      </c>
      <c r="C35" s="117" t="s">
        <v>138</v>
      </c>
      <c r="D35" s="9" t="s">
        <v>108</v>
      </c>
      <c r="E35" s="9" t="s">
        <v>25</v>
      </c>
      <c r="F35" s="9" t="s">
        <v>35</v>
      </c>
      <c r="G35" s="9" t="s">
        <v>36</v>
      </c>
      <c r="H35" s="17">
        <v>37530</v>
      </c>
      <c r="I35" s="17">
        <v>37531</v>
      </c>
      <c r="J35" s="18">
        <v>5</v>
      </c>
      <c r="K35" s="122"/>
      <c r="L35" s="122"/>
      <c r="M35" s="122"/>
      <c r="N35" s="122"/>
      <c r="O35" s="122"/>
      <c r="P35" s="122"/>
      <c r="Q35" s="122"/>
      <c r="R35" s="122"/>
      <c r="S35" s="122">
        <f>AJ35*AM35*AN35*0.01</f>
        <v>1462.8214285714287</v>
      </c>
      <c r="T35" s="122">
        <f>S35*0.4089</f>
        <v>598.14768214285721</v>
      </c>
      <c r="U35" s="122">
        <f>S35*0.0263</f>
        <v>38.472203571428572</v>
      </c>
      <c r="V35" s="123"/>
      <c r="W35" s="122"/>
      <c r="X35" s="122"/>
      <c r="Y35" s="122"/>
      <c r="Z35" s="122"/>
      <c r="AG35" s="124">
        <v>1.4</v>
      </c>
      <c r="AH35" s="1">
        <v>9</v>
      </c>
      <c r="AI35" s="1"/>
      <c r="AJ35" s="124">
        <f t="shared" si="0"/>
        <v>6.4285714285714288</v>
      </c>
      <c r="AK35" s="137" t="s">
        <v>70</v>
      </c>
      <c r="AL35" s="122"/>
      <c r="AM35" s="122">
        <v>615</v>
      </c>
      <c r="AN35" s="122">
        <v>37</v>
      </c>
      <c r="AO35" s="122"/>
      <c r="AP35" s="122"/>
      <c r="AQ35" s="122"/>
      <c r="AR35" s="122"/>
    </row>
    <row r="36" spans="1:44">
      <c r="A36" s="75">
        <v>35</v>
      </c>
      <c r="B36" s="111">
        <v>2002</v>
      </c>
      <c r="C36" s="117" t="s">
        <v>138</v>
      </c>
      <c r="D36" s="9" t="s">
        <v>108</v>
      </c>
      <c r="E36" s="9" t="s">
        <v>17</v>
      </c>
      <c r="F36" s="9" t="s">
        <v>37</v>
      </c>
      <c r="G36" s="9" t="s">
        <v>48</v>
      </c>
      <c r="H36" s="17">
        <v>37533</v>
      </c>
      <c r="I36" s="17"/>
      <c r="J36" s="18"/>
      <c r="K36" s="122">
        <v>53.075000000000003</v>
      </c>
      <c r="L36" s="122">
        <v>23.815000000000001</v>
      </c>
      <c r="M36" s="122">
        <v>0.5</v>
      </c>
      <c r="N36" s="122">
        <v>442.38499999999999</v>
      </c>
      <c r="O36" s="122">
        <v>9.36</v>
      </c>
      <c r="P36" s="122">
        <f>AJ36*1000*AN36/100</f>
        <v>1408</v>
      </c>
      <c r="Q36" s="122">
        <f>N36*P36/1000</f>
        <v>622.87807999999995</v>
      </c>
      <c r="R36" s="122">
        <f>K36*P36/1000</f>
        <v>74.729600000000005</v>
      </c>
      <c r="S36" s="122"/>
      <c r="T36" s="122">
        <f>$AJ36*1000*$AN36*0.01*$N36*0.001</f>
        <v>622.87807999999995</v>
      </c>
      <c r="U36" s="122">
        <f>$AJ36*1000*$AN36*0.01*$K36*0.001</f>
        <v>74.729600000000005</v>
      </c>
      <c r="V36" s="123"/>
      <c r="W36" s="122"/>
      <c r="X36" s="122"/>
      <c r="Y36" s="122"/>
      <c r="Z36" s="122"/>
      <c r="AG36" s="124">
        <v>1.4</v>
      </c>
      <c r="AH36" s="1">
        <v>64</v>
      </c>
      <c r="AI36" s="1"/>
      <c r="AJ36" s="124">
        <f t="shared" si="0"/>
        <v>45.714285714285715</v>
      </c>
      <c r="AK36" s="1" t="s">
        <v>5</v>
      </c>
      <c r="AL36" s="122"/>
      <c r="AM36" s="122"/>
      <c r="AN36" s="122">
        <v>3.08</v>
      </c>
      <c r="AO36" s="122">
        <v>32</v>
      </c>
      <c r="AP36" s="122">
        <v>18.285714285714288</v>
      </c>
      <c r="AQ36" s="122">
        <v>82.285714285714292</v>
      </c>
      <c r="AR36" s="122">
        <v>4.5714285714285721</v>
      </c>
    </row>
    <row r="37" spans="1:44">
      <c r="A37" s="75">
        <v>36</v>
      </c>
      <c r="B37" s="111">
        <v>2002</v>
      </c>
      <c r="C37" s="117" t="s">
        <v>138</v>
      </c>
      <c r="D37" s="9" t="s">
        <v>108</v>
      </c>
      <c r="E37" s="9" t="s">
        <v>17</v>
      </c>
      <c r="F37" s="9" t="s">
        <v>37</v>
      </c>
      <c r="G37" s="9" t="s">
        <v>48</v>
      </c>
      <c r="H37" s="17">
        <v>37581</v>
      </c>
      <c r="I37" s="17"/>
      <c r="J37" s="18"/>
      <c r="K37" s="122">
        <v>53.075000000000003</v>
      </c>
      <c r="L37" s="122">
        <v>23.815000000000001</v>
      </c>
      <c r="M37" s="122">
        <v>0.5</v>
      </c>
      <c r="N37" s="122">
        <v>442.38499999999999</v>
      </c>
      <c r="O37" s="122">
        <v>9.36</v>
      </c>
      <c r="P37" s="122">
        <f>AJ37*1000*AN37/100</f>
        <v>1892</v>
      </c>
      <c r="Q37" s="122">
        <f>N37*P37/1000</f>
        <v>836.99241999999992</v>
      </c>
      <c r="R37" s="122">
        <f>K37*P37/1000</f>
        <v>100.4179</v>
      </c>
      <c r="S37" s="122"/>
      <c r="T37" s="122">
        <f>$AJ37*1000*$AN37*0.01*$N37*0.001</f>
        <v>836.99241999999992</v>
      </c>
      <c r="U37" s="122">
        <f>$AJ37*1000*$AN37*0.01*$K37*0.001</f>
        <v>100.41790000000002</v>
      </c>
      <c r="V37" s="123"/>
      <c r="W37" s="122"/>
      <c r="X37" s="122"/>
      <c r="Y37" s="122"/>
      <c r="Z37" s="122"/>
      <c r="AG37" s="124">
        <v>1.4</v>
      </c>
      <c r="AH37" s="1">
        <v>86</v>
      </c>
      <c r="AI37" s="1"/>
      <c r="AJ37" s="124">
        <f t="shared" si="0"/>
        <v>61.428571428571431</v>
      </c>
      <c r="AK37" s="1" t="s">
        <v>5</v>
      </c>
      <c r="AL37" s="122"/>
      <c r="AM37" s="122"/>
      <c r="AN37" s="122">
        <v>3.08</v>
      </c>
      <c r="AO37" s="122">
        <v>43</v>
      </c>
      <c r="AP37" s="122">
        <v>24.571428571428573</v>
      </c>
      <c r="AQ37" s="122">
        <v>110.57142857142858</v>
      </c>
      <c r="AR37" s="122">
        <v>6.1428571428571432</v>
      </c>
    </row>
    <row r="38" spans="1:44">
      <c r="A38" s="75">
        <v>37</v>
      </c>
      <c r="B38" s="111">
        <v>2002</v>
      </c>
      <c r="C38" s="118" t="s">
        <v>139</v>
      </c>
      <c r="D38" s="9" t="s">
        <v>108</v>
      </c>
      <c r="E38" s="9" t="s">
        <v>17</v>
      </c>
      <c r="F38" s="9" t="s">
        <v>37</v>
      </c>
      <c r="G38" s="34" t="s">
        <v>48</v>
      </c>
      <c r="H38" s="17">
        <v>37323</v>
      </c>
      <c r="I38" s="17"/>
      <c r="J38" s="18"/>
      <c r="K38" s="122">
        <v>53.075000000000003</v>
      </c>
      <c r="L38" s="122">
        <v>23.815000000000001</v>
      </c>
      <c r="M38" s="125">
        <v>0.5</v>
      </c>
      <c r="N38" s="122">
        <v>442.38499999999999</v>
      </c>
      <c r="O38" s="122">
        <v>9.36</v>
      </c>
      <c r="P38" s="122">
        <f>AJ38*1000*AN38/100</f>
        <v>1010.1075268817206</v>
      </c>
      <c r="Q38" s="122">
        <f>N38*P38/1000</f>
        <v>446.85641827956994</v>
      </c>
      <c r="R38" s="122">
        <f>K38*P38/1000</f>
        <v>53.611456989247323</v>
      </c>
      <c r="S38" s="122"/>
      <c r="T38" s="122">
        <f>$AJ38*1000*$AN38*0.01*$N38*0.001</f>
        <v>446.85641827956994</v>
      </c>
      <c r="U38" s="122">
        <f>$AJ38*1000*$AN38*0.01*$K38*0.001</f>
        <v>53.611456989247323</v>
      </c>
      <c r="V38" s="123"/>
      <c r="W38" s="122"/>
      <c r="X38" s="122"/>
      <c r="Y38" s="122"/>
      <c r="Z38" s="122"/>
      <c r="AG38" s="124">
        <v>1.86</v>
      </c>
      <c r="AH38" s="1">
        <v>61</v>
      </c>
      <c r="AI38" s="1"/>
      <c r="AJ38" s="124">
        <f t="shared" si="0"/>
        <v>32.795698924731184</v>
      </c>
      <c r="AK38" s="1" t="s">
        <v>5</v>
      </c>
      <c r="AL38" s="122"/>
      <c r="AM38" s="122"/>
      <c r="AN38" s="122">
        <v>3.08</v>
      </c>
      <c r="AO38" s="122">
        <v>22.956989247311828</v>
      </c>
      <c r="AP38" s="122">
        <v>13.118279569892476</v>
      </c>
      <c r="AQ38" s="122">
        <v>59.032258064516128</v>
      </c>
      <c r="AR38" s="122">
        <v>3.2795698924731189</v>
      </c>
    </row>
    <row r="39" spans="1:44">
      <c r="A39" s="75">
        <v>38</v>
      </c>
      <c r="B39" s="111">
        <v>2002</v>
      </c>
      <c r="C39" s="118" t="s">
        <v>139</v>
      </c>
      <c r="D39" s="9" t="s">
        <v>108</v>
      </c>
      <c r="E39" s="9" t="s">
        <v>26</v>
      </c>
      <c r="F39" s="9" t="s">
        <v>30</v>
      </c>
      <c r="G39" s="4" t="s">
        <v>127</v>
      </c>
      <c r="H39" s="17">
        <v>37336</v>
      </c>
      <c r="I39" s="17"/>
      <c r="J39" s="18"/>
      <c r="K39" s="122"/>
      <c r="L39" s="122"/>
      <c r="M39" s="122"/>
      <c r="N39" s="122"/>
      <c r="O39" s="122"/>
      <c r="P39" s="122"/>
      <c r="Q39" s="122"/>
      <c r="R39" s="122"/>
      <c r="S39" s="122"/>
      <c r="T39" s="122"/>
      <c r="U39" s="122"/>
      <c r="V39" s="123"/>
      <c r="W39" s="122"/>
      <c r="X39" s="122"/>
      <c r="Y39" s="122"/>
      <c r="Z39" s="122"/>
      <c r="AG39" s="124">
        <v>1.86</v>
      </c>
      <c r="AH39" s="122"/>
      <c r="AI39" s="122"/>
      <c r="AJ39" s="122"/>
      <c r="AL39" s="122"/>
      <c r="AM39" s="122"/>
      <c r="AN39" s="122"/>
      <c r="AO39" s="122"/>
      <c r="AP39" s="122"/>
      <c r="AQ39" s="122"/>
      <c r="AR39" s="122"/>
    </row>
    <row r="40" spans="1:44">
      <c r="A40" s="75">
        <v>39</v>
      </c>
      <c r="B40" s="111">
        <v>2002</v>
      </c>
      <c r="C40" s="118" t="s">
        <v>139</v>
      </c>
      <c r="D40" s="9" t="s">
        <v>108</v>
      </c>
      <c r="E40" s="9" t="s">
        <v>23</v>
      </c>
      <c r="F40" s="9" t="s">
        <v>38</v>
      </c>
      <c r="G40" s="9" t="s">
        <v>49</v>
      </c>
      <c r="H40" s="17">
        <v>37336</v>
      </c>
      <c r="I40" s="17"/>
      <c r="J40" s="18"/>
      <c r="K40" s="122"/>
      <c r="L40" s="122"/>
      <c r="M40" s="122"/>
      <c r="N40" s="122"/>
      <c r="O40" s="122"/>
      <c r="P40" s="122"/>
      <c r="Q40" s="122"/>
      <c r="R40" s="122"/>
      <c r="S40" s="122"/>
      <c r="T40" s="122"/>
      <c r="U40" s="122"/>
      <c r="V40" s="123"/>
      <c r="W40" s="122"/>
      <c r="X40" s="122"/>
      <c r="Y40" s="122"/>
      <c r="Z40" s="122"/>
      <c r="AG40" s="124">
        <v>1.86</v>
      </c>
      <c r="AH40" s="1">
        <v>46</v>
      </c>
      <c r="AI40" s="1"/>
      <c r="AJ40" s="124">
        <f t="shared" ref="AJ40:AJ53" si="1">IF(AH40/AG40&gt;0, AH40/AG40,"")</f>
        <v>24.731182795698924</v>
      </c>
      <c r="AK40" s="1" t="s">
        <v>3</v>
      </c>
      <c r="AL40" s="122"/>
      <c r="AM40" s="122"/>
      <c r="AN40" s="122"/>
      <c r="AO40" s="122"/>
      <c r="AP40" s="122"/>
      <c r="AQ40" s="122"/>
      <c r="AR40" s="122"/>
    </row>
    <row r="41" spans="1:44">
      <c r="A41" s="75">
        <v>40</v>
      </c>
      <c r="B41" s="111">
        <v>2002</v>
      </c>
      <c r="C41" s="118" t="s">
        <v>139</v>
      </c>
      <c r="D41" s="9" t="s">
        <v>108</v>
      </c>
      <c r="E41" s="9" t="s">
        <v>25</v>
      </c>
      <c r="F41" s="9" t="s">
        <v>35</v>
      </c>
      <c r="G41" s="34" t="s">
        <v>36</v>
      </c>
      <c r="H41" s="17">
        <v>37391</v>
      </c>
      <c r="I41" s="17">
        <v>37392</v>
      </c>
      <c r="J41" s="18">
        <v>1</v>
      </c>
      <c r="K41" s="122"/>
      <c r="L41" s="122"/>
      <c r="M41" s="122"/>
      <c r="N41" s="122"/>
      <c r="O41" s="122"/>
      <c r="P41" s="122"/>
      <c r="Q41" s="122"/>
      <c r="R41" s="122"/>
      <c r="S41" s="122">
        <f>$AJ41*100</f>
        <v>1209.6774193548385</v>
      </c>
      <c r="T41" s="122">
        <f>$S41*0.4089</f>
        <v>494.63709677419348</v>
      </c>
      <c r="U41" s="122">
        <f>$S41*0.0263</f>
        <v>31.814516129032253</v>
      </c>
      <c r="V41" s="123"/>
      <c r="W41" s="122"/>
      <c r="X41" s="122"/>
      <c r="Y41" s="122"/>
      <c r="Z41" s="122"/>
      <c r="AG41" s="124">
        <v>1.86</v>
      </c>
      <c r="AH41" s="1">
        <v>22.5</v>
      </c>
      <c r="AI41" s="1"/>
      <c r="AJ41" s="124">
        <f t="shared" si="1"/>
        <v>12.096774193548386</v>
      </c>
      <c r="AK41" s="1" t="s">
        <v>72</v>
      </c>
      <c r="AL41" s="122"/>
      <c r="AM41" s="122"/>
      <c r="AN41" s="122">
        <v>37</v>
      </c>
      <c r="AO41" s="122"/>
      <c r="AP41" s="122"/>
      <c r="AQ41" s="122"/>
      <c r="AR41" s="122"/>
    </row>
    <row r="42" spans="1:44">
      <c r="A42" s="75">
        <v>41</v>
      </c>
      <c r="B42" s="111">
        <v>2002</v>
      </c>
      <c r="C42" s="118" t="s">
        <v>139</v>
      </c>
      <c r="D42" s="9" t="s">
        <v>108</v>
      </c>
      <c r="E42" s="9" t="s">
        <v>25</v>
      </c>
      <c r="F42" s="9" t="s">
        <v>35</v>
      </c>
      <c r="G42" s="9" t="s">
        <v>36</v>
      </c>
      <c r="H42" s="17">
        <v>37397</v>
      </c>
      <c r="I42" s="17">
        <v>37398</v>
      </c>
      <c r="J42" s="18">
        <v>1</v>
      </c>
      <c r="K42" s="122"/>
      <c r="L42" s="122"/>
      <c r="M42" s="122"/>
      <c r="N42" s="122"/>
      <c r="O42" s="122"/>
      <c r="P42" s="122"/>
      <c r="Q42" s="122"/>
      <c r="R42" s="122"/>
      <c r="S42" s="122">
        <f>$AJ42*100</f>
        <v>1612.9032258064517</v>
      </c>
      <c r="T42" s="122">
        <f>$S42*0.4089</f>
        <v>659.51612903225805</v>
      </c>
      <c r="U42" s="122">
        <f>$S42*0.0263</f>
        <v>42.41935483870968</v>
      </c>
      <c r="V42" s="123"/>
      <c r="W42" s="122"/>
      <c r="X42" s="122"/>
      <c r="Y42" s="122"/>
      <c r="Z42" s="122"/>
      <c r="AG42" s="124">
        <v>1.86</v>
      </c>
      <c r="AH42" s="1">
        <v>30</v>
      </c>
      <c r="AI42" s="1"/>
      <c r="AJ42" s="124">
        <f t="shared" si="1"/>
        <v>16.129032258064516</v>
      </c>
      <c r="AK42" s="1" t="s">
        <v>72</v>
      </c>
      <c r="AL42" s="122"/>
      <c r="AM42" s="122"/>
      <c r="AN42" s="122">
        <v>37</v>
      </c>
      <c r="AO42" s="122"/>
      <c r="AP42" s="122"/>
      <c r="AQ42" s="122"/>
      <c r="AR42" s="122"/>
    </row>
    <row r="43" spans="1:44">
      <c r="A43" s="75">
        <v>42</v>
      </c>
      <c r="B43" s="111">
        <v>2002</v>
      </c>
      <c r="C43" s="118" t="s">
        <v>139</v>
      </c>
      <c r="D43" s="9" t="s">
        <v>108</v>
      </c>
      <c r="E43" s="9" t="s">
        <v>25</v>
      </c>
      <c r="F43" s="9" t="s">
        <v>35</v>
      </c>
      <c r="G43" s="33" t="s">
        <v>43</v>
      </c>
      <c r="H43" s="17">
        <v>37424</v>
      </c>
      <c r="I43" s="17">
        <v>37426</v>
      </c>
      <c r="J43" s="18">
        <v>2</v>
      </c>
      <c r="K43" s="122"/>
      <c r="L43" s="122"/>
      <c r="M43" s="122"/>
      <c r="N43" s="122"/>
      <c r="O43" s="122"/>
      <c r="P43" s="122"/>
      <c r="Q43" s="122"/>
      <c r="R43" s="122"/>
      <c r="S43" s="122">
        <f>$AJ43*100</f>
        <v>645.16129032258061</v>
      </c>
      <c r="T43" s="122">
        <f>$S43*0.4089</f>
        <v>263.80645161290323</v>
      </c>
      <c r="U43" s="122">
        <f>$S43*0.0263</f>
        <v>16.967741935483872</v>
      </c>
      <c r="V43" s="123"/>
      <c r="W43" s="122"/>
      <c r="X43" s="122"/>
      <c r="Y43" s="122"/>
      <c r="Z43" s="122"/>
      <c r="AG43" s="124">
        <v>1.86</v>
      </c>
      <c r="AH43" s="1">
        <v>12</v>
      </c>
      <c r="AI43" s="1"/>
      <c r="AJ43" s="124">
        <f t="shared" si="1"/>
        <v>6.4516129032258061</v>
      </c>
      <c r="AK43" s="1" t="s">
        <v>72</v>
      </c>
      <c r="AL43" s="122"/>
      <c r="AM43" s="122"/>
      <c r="AN43" s="122">
        <v>70</v>
      </c>
      <c r="AO43" s="122"/>
      <c r="AP43" s="122"/>
      <c r="AQ43" s="122"/>
      <c r="AR43" s="122"/>
    </row>
    <row r="44" spans="1:44">
      <c r="A44" s="75">
        <v>43</v>
      </c>
      <c r="B44" s="111">
        <v>2002</v>
      </c>
      <c r="C44" s="118" t="s">
        <v>139</v>
      </c>
      <c r="D44" s="9" t="s">
        <v>108</v>
      </c>
      <c r="E44" s="9" t="s">
        <v>17</v>
      </c>
      <c r="F44" s="9" t="s">
        <v>34</v>
      </c>
      <c r="G44" s="33" t="s">
        <v>21</v>
      </c>
      <c r="H44" s="17">
        <v>37427</v>
      </c>
      <c r="I44" s="17"/>
      <c r="J44" s="18"/>
      <c r="K44" s="122">
        <v>270</v>
      </c>
      <c r="L44" s="122">
        <v>135</v>
      </c>
      <c r="M44" s="122">
        <v>135</v>
      </c>
      <c r="N44" s="122">
        <v>0</v>
      </c>
      <c r="O44" s="122">
        <v>0</v>
      </c>
      <c r="P44" s="122">
        <f>AJ44</f>
        <v>53.763440860215049</v>
      </c>
      <c r="Q44" s="122">
        <f>N44*P44/1000</f>
        <v>0</v>
      </c>
      <c r="R44" s="122">
        <f>P44*K44/1000</f>
        <v>14.516129032258062</v>
      </c>
      <c r="S44" s="122"/>
      <c r="T44" s="122">
        <f>$AJ44*1000*$AN44*0.01*$N44*0.001</f>
        <v>0</v>
      </c>
      <c r="U44" s="122">
        <f>$AJ44*$AN44*0.01*$K44*0.001</f>
        <v>14.516129032258062</v>
      </c>
      <c r="V44" s="123"/>
      <c r="W44" s="122"/>
      <c r="X44" s="122"/>
      <c r="Y44" s="122"/>
      <c r="Z44" s="122"/>
      <c r="AG44" s="124">
        <v>1.86</v>
      </c>
      <c r="AH44" s="1">
        <v>100</v>
      </c>
      <c r="AI44" s="1"/>
      <c r="AJ44" s="124">
        <f t="shared" si="1"/>
        <v>53.763440860215049</v>
      </c>
      <c r="AK44" s="1" t="s">
        <v>3</v>
      </c>
      <c r="AL44" s="122"/>
      <c r="AM44" s="122"/>
      <c r="AN44" s="122">
        <v>100</v>
      </c>
      <c r="AO44" s="122">
        <v>14.516129032258066</v>
      </c>
      <c r="AP44" s="122">
        <v>0</v>
      </c>
      <c r="AQ44" s="122">
        <v>0</v>
      </c>
      <c r="AR44" s="122">
        <v>0</v>
      </c>
    </row>
    <row r="45" spans="1:44">
      <c r="A45" s="75">
        <v>44</v>
      </c>
      <c r="B45" s="111">
        <v>2002</v>
      </c>
      <c r="C45" s="118" t="s">
        <v>139</v>
      </c>
      <c r="D45" s="9" t="s">
        <v>108</v>
      </c>
      <c r="E45" s="9" t="s">
        <v>25</v>
      </c>
      <c r="F45" s="9" t="s">
        <v>35</v>
      </c>
      <c r="G45" s="9" t="s">
        <v>36</v>
      </c>
      <c r="H45" s="17">
        <v>37448</v>
      </c>
      <c r="I45" s="17">
        <v>37449</v>
      </c>
      <c r="J45" s="18">
        <v>2</v>
      </c>
      <c r="K45" s="122"/>
      <c r="L45" s="122"/>
      <c r="M45" s="122"/>
      <c r="N45" s="122"/>
      <c r="O45" s="122"/>
      <c r="P45" s="122"/>
      <c r="Q45" s="122"/>
      <c r="R45" s="122"/>
      <c r="S45" s="122">
        <f>$AJ45*100</f>
        <v>806.45161290322585</v>
      </c>
      <c r="T45" s="122">
        <f>$S45*0.4089</f>
        <v>329.75806451612902</v>
      </c>
      <c r="U45" s="122">
        <f>$S45*0.0263</f>
        <v>21.20967741935484</v>
      </c>
      <c r="V45" s="123"/>
      <c r="W45" s="122"/>
      <c r="X45" s="122"/>
      <c r="Y45" s="122"/>
      <c r="Z45" s="122"/>
      <c r="AG45" s="124">
        <v>1.86</v>
      </c>
      <c r="AH45" s="1">
        <v>15</v>
      </c>
      <c r="AI45" s="1"/>
      <c r="AJ45" s="124">
        <f t="shared" si="1"/>
        <v>8.064516129032258</v>
      </c>
      <c r="AK45" s="1" t="s">
        <v>72</v>
      </c>
      <c r="AL45" s="122"/>
      <c r="AM45" s="122"/>
      <c r="AN45" s="122">
        <v>37</v>
      </c>
      <c r="AO45" s="122"/>
      <c r="AP45" s="122"/>
      <c r="AQ45" s="122"/>
      <c r="AR45" s="122"/>
    </row>
    <row r="46" spans="1:44">
      <c r="A46" s="75">
        <v>45</v>
      </c>
      <c r="B46" s="111">
        <v>2002</v>
      </c>
      <c r="C46" s="118" t="s">
        <v>139</v>
      </c>
      <c r="D46" s="9" t="s">
        <v>108</v>
      </c>
      <c r="E46" s="9" t="s">
        <v>25</v>
      </c>
      <c r="F46" s="9" t="s">
        <v>35</v>
      </c>
      <c r="G46" s="33" t="s">
        <v>43</v>
      </c>
      <c r="H46" s="17">
        <v>37459</v>
      </c>
      <c r="I46" s="17">
        <v>37460</v>
      </c>
      <c r="J46" s="18">
        <v>3</v>
      </c>
      <c r="K46" s="122"/>
      <c r="L46" s="122"/>
      <c r="M46" s="122"/>
      <c r="N46" s="122"/>
      <c r="O46" s="122"/>
      <c r="P46" s="122"/>
      <c r="Q46" s="122"/>
      <c r="R46" s="122"/>
      <c r="S46" s="122">
        <f>$AJ46*100</f>
        <v>967.74193548387098</v>
      </c>
      <c r="T46" s="122">
        <f>$S46*0.4089</f>
        <v>395.70967741935482</v>
      </c>
      <c r="U46" s="122">
        <f>$S46*0.0263</f>
        <v>25.451612903225808</v>
      </c>
      <c r="V46" s="123"/>
      <c r="W46" s="122"/>
      <c r="X46" s="122"/>
      <c r="Y46" s="122"/>
      <c r="Z46" s="122"/>
      <c r="AG46" s="124">
        <v>1.86</v>
      </c>
      <c r="AH46" s="1">
        <v>18</v>
      </c>
      <c r="AI46" s="1"/>
      <c r="AJ46" s="124">
        <f t="shared" si="1"/>
        <v>9.67741935483871</v>
      </c>
      <c r="AK46" s="1" t="s">
        <v>72</v>
      </c>
      <c r="AL46" s="122"/>
      <c r="AM46" s="122"/>
      <c r="AN46" s="122">
        <v>70</v>
      </c>
      <c r="AO46" s="122"/>
      <c r="AP46" s="122"/>
      <c r="AQ46" s="122"/>
      <c r="AR46" s="122"/>
    </row>
    <row r="47" spans="1:44">
      <c r="A47" s="75">
        <v>46</v>
      </c>
      <c r="B47" s="111">
        <v>2002</v>
      </c>
      <c r="C47" s="118" t="s">
        <v>139</v>
      </c>
      <c r="D47" s="9" t="s">
        <v>108</v>
      </c>
      <c r="E47" s="9" t="s">
        <v>17</v>
      </c>
      <c r="F47" s="9" t="s">
        <v>37</v>
      </c>
      <c r="G47" s="9" t="s">
        <v>48</v>
      </c>
      <c r="H47" s="17">
        <v>37462</v>
      </c>
      <c r="I47" s="17"/>
      <c r="J47" s="18"/>
      <c r="K47" s="122">
        <v>53.075000000000003</v>
      </c>
      <c r="L47" s="122">
        <v>23.815000000000001</v>
      </c>
      <c r="M47" s="125">
        <v>0.5</v>
      </c>
      <c r="N47" s="122">
        <v>442.38499999999999</v>
      </c>
      <c r="O47" s="122">
        <v>9.36</v>
      </c>
      <c r="P47" s="122">
        <f>AJ47*1000*AN47/100</f>
        <v>629.24731182795699</v>
      </c>
      <c r="Q47" s="122">
        <f>N47*P47/1000</f>
        <v>278.36957204301075</v>
      </c>
      <c r="R47" s="122">
        <f>K47*P47/1000</f>
        <v>33.397301075268821</v>
      </c>
      <c r="S47" s="122"/>
      <c r="T47" s="122">
        <f>$AJ47*1000*$AN47*0.01*$N47*0.001</f>
        <v>278.36957204301075</v>
      </c>
      <c r="U47" s="122">
        <f>$AJ47*1000*$AN47*0.01*$K47*0.001</f>
        <v>33.397301075268821</v>
      </c>
      <c r="V47" s="123"/>
      <c r="W47" s="122"/>
      <c r="X47" s="122"/>
      <c r="Y47" s="122"/>
      <c r="Z47" s="122"/>
      <c r="AG47" s="124">
        <v>1.86</v>
      </c>
      <c r="AH47" s="1">
        <v>38</v>
      </c>
      <c r="AI47" s="1"/>
      <c r="AJ47" s="124">
        <f t="shared" si="1"/>
        <v>20.43010752688172</v>
      </c>
      <c r="AK47" s="1" t="s">
        <v>5</v>
      </c>
      <c r="AL47" s="122"/>
      <c r="AM47" s="122"/>
      <c r="AN47" s="122">
        <v>3.08</v>
      </c>
      <c r="AO47" s="122">
        <v>14.301075268817204</v>
      </c>
      <c r="AP47" s="122">
        <v>8.1720430107526898</v>
      </c>
      <c r="AQ47" s="122">
        <v>36.774193548387103</v>
      </c>
      <c r="AR47" s="122">
        <v>2.0430107526881724</v>
      </c>
    </row>
    <row r="48" spans="1:44">
      <c r="A48" s="75">
        <v>47</v>
      </c>
      <c r="B48" s="111">
        <v>2002</v>
      </c>
      <c r="C48" s="118" t="s">
        <v>139</v>
      </c>
      <c r="D48" s="9" t="s">
        <v>108</v>
      </c>
      <c r="E48" s="9" t="s">
        <v>25</v>
      </c>
      <c r="F48" s="9" t="s">
        <v>35</v>
      </c>
      <c r="G48" s="9" t="s">
        <v>36</v>
      </c>
      <c r="H48" s="17">
        <v>37490</v>
      </c>
      <c r="I48" s="17">
        <v>37491</v>
      </c>
      <c r="J48" s="18">
        <v>4</v>
      </c>
      <c r="K48" s="122"/>
      <c r="L48" s="122"/>
      <c r="M48" s="122"/>
      <c r="N48" s="122"/>
      <c r="O48" s="122"/>
      <c r="P48" s="122"/>
      <c r="Q48" s="122"/>
      <c r="R48" s="122"/>
      <c r="S48" s="122">
        <f>$AJ48*100</f>
        <v>268.81720430107526</v>
      </c>
      <c r="T48" s="122">
        <f>$S48*0.4089</f>
        <v>109.91935483870967</v>
      </c>
      <c r="U48" s="122">
        <f>$S48*0.0263</f>
        <v>7.06989247311828</v>
      </c>
      <c r="V48" s="123"/>
      <c r="W48" s="122"/>
      <c r="X48" s="122"/>
      <c r="Y48" s="122"/>
      <c r="Z48" s="122"/>
      <c r="AG48" s="124">
        <v>1.86</v>
      </c>
      <c r="AH48" s="1">
        <v>5</v>
      </c>
      <c r="AI48" s="1"/>
      <c r="AJ48" s="124">
        <f t="shared" si="1"/>
        <v>2.6881720430107525</v>
      </c>
      <c r="AK48" s="1" t="s">
        <v>72</v>
      </c>
      <c r="AL48" s="122"/>
      <c r="AM48" s="122"/>
      <c r="AN48" s="122">
        <v>37</v>
      </c>
      <c r="AO48" s="122"/>
      <c r="AP48" s="122"/>
      <c r="AQ48" s="122"/>
      <c r="AR48" s="122"/>
    </row>
    <row r="49" spans="1:44">
      <c r="A49" s="75">
        <v>48</v>
      </c>
      <c r="B49" s="111">
        <v>2002</v>
      </c>
      <c r="C49" s="118" t="s">
        <v>139</v>
      </c>
      <c r="D49" s="9" t="s">
        <v>108</v>
      </c>
      <c r="E49" s="9" t="s">
        <v>25</v>
      </c>
      <c r="F49" s="9" t="s">
        <v>35</v>
      </c>
      <c r="G49" s="9" t="s">
        <v>36</v>
      </c>
      <c r="H49" s="17">
        <v>37530</v>
      </c>
      <c r="I49" s="17">
        <v>37531</v>
      </c>
      <c r="J49" s="18">
        <v>5</v>
      </c>
      <c r="K49" s="122"/>
      <c r="L49" s="122"/>
      <c r="M49" s="122"/>
      <c r="N49" s="122"/>
      <c r="O49" s="122"/>
      <c r="P49" s="122"/>
      <c r="Q49" s="122"/>
      <c r="R49" s="122"/>
      <c r="S49" s="122">
        <f>$AJ49*100</f>
        <v>322.58064516129031</v>
      </c>
      <c r="T49" s="122">
        <f>$S49*0.4089</f>
        <v>131.90322580645162</v>
      </c>
      <c r="U49" s="122">
        <f>$S49*0.0263</f>
        <v>8.4838709677419359</v>
      </c>
      <c r="V49" s="123"/>
      <c r="W49" s="122"/>
      <c r="X49" s="122"/>
      <c r="Y49" s="122"/>
      <c r="Z49" s="122"/>
      <c r="AG49" s="124">
        <v>1.86</v>
      </c>
      <c r="AH49" s="1">
        <v>6</v>
      </c>
      <c r="AI49" s="1"/>
      <c r="AJ49" s="124">
        <f t="shared" si="1"/>
        <v>3.225806451612903</v>
      </c>
      <c r="AK49" s="1" t="s">
        <v>72</v>
      </c>
      <c r="AL49" s="122"/>
      <c r="AM49" s="122"/>
      <c r="AN49" s="122">
        <v>37</v>
      </c>
      <c r="AO49" s="122"/>
      <c r="AP49" s="122"/>
      <c r="AQ49" s="122"/>
      <c r="AR49" s="122"/>
    </row>
    <row r="50" spans="1:44">
      <c r="A50" s="75">
        <v>49</v>
      </c>
      <c r="B50" s="111">
        <v>2002</v>
      </c>
      <c r="C50" s="118" t="s">
        <v>139</v>
      </c>
      <c r="D50" s="9" t="s">
        <v>108</v>
      </c>
      <c r="E50" s="9" t="s">
        <v>17</v>
      </c>
      <c r="F50" s="9" t="s">
        <v>37</v>
      </c>
      <c r="G50" s="9" t="s">
        <v>48</v>
      </c>
      <c r="H50" s="17">
        <v>37533</v>
      </c>
      <c r="I50" s="17"/>
      <c r="J50" s="18"/>
      <c r="K50" s="122">
        <v>53.075000000000003</v>
      </c>
      <c r="L50" s="122">
        <v>23.815000000000001</v>
      </c>
      <c r="M50" s="125">
        <v>0.5</v>
      </c>
      <c r="N50" s="122">
        <v>442.38499999999999</v>
      </c>
      <c r="O50" s="122">
        <v>9.36</v>
      </c>
      <c r="P50" s="122">
        <f>AJ50*1000*AN50/100</f>
        <v>1415.8064516129034</v>
      </c>
      <c r="Q50" s="122">
        <f>N50*P50/1000</f>
        <v>626.33153709677424</v>
      </c>
      <c r="R50" s="122">
        <f>K50*P50/1000</f>
        <v>75.143927419354853</v>
      </c>
      <c r="S50" s="122"/>
      <c r="T50" s="122">
        <f>$AJ50*1000*$AN50*0.01*$N50*0.001</f>
        <v>626.33153709677424</v>
      </c>
      <c r="U50" s="122">
        <f>$AJ50*1000*$AN50*0.01*$K50*0.001</f>
        <v>75.143927419354853</v>
      </c>
      <c r="V50" s="123"/>
      <c r="W50" s="122"/>
      <c r="X50" s="122"/>
      <c r="Y50" s="122"/>
      <c r="Z50" s="122"/>
      <c r="AG50" s="124">
        <v>1.86</v>
      </c>
      <c r="AH50" s="1">
        <v>85.5</v>
      </c>
      <c r="AI50" s="1"/>
      <c r="AJ50" s="124">
        <f t="shared" si="1"/>
        <v>45.967741935483872</v>
      </c>
      <c r="AK50" s="1" t="s">
        <v>5</v>
      </c>
      <c r="AL50" s="122"/>
      <c r="AM50" s="122"/>
      <c r="AN50" s="122">
        <v>3.08</v>
      </c>
      <c r="AO50" s="122">
        <v>32.177419354838712</v>
      </c>
      <c r="AP50" s="122">
        <v>18.387096774193552</v>
      </c>
      <c r="AQ50" s="122">
        <v>82.741935483870975</v>
      </c>
      <c r="AR50" s="122">
        <v>4.5967741935483879</v>
      </c>
    </row>
    <row r="51" spans="1:44">
      <c r="A51" s="75">
        <v>50</v>
      </c>
      <c r="B51" s="109">
        <v>2003</v>
      </c>
      <c r="C51" s="117" t="s">
        <v>138</v>
      </c>
      <c r="D51" s="9" t="s">
        <v>108</v>
      </c>
      <c r="E51" s="9" t="s">
        <v>17</v>
      </c>
      <c r="F51" s="9" t="s">
        <v>37</v>
      </c>
      <c r="G51" s="9" t="s">
        <v>48</v>
      </c>
      <c r="H51" s="17">
        <v>37692</v>
      </c>
      <c r="I51" s="17"/>
      <c r="J51" s="18"/>
      <c r="K51" s="122">
        <v>53.075000000000003</v>
      </c>
      <c r="L51" s="122">
        <v>23.815000000000001</v>
      </c>
      <c r="M51" s="125">
        <v>0.5</v>
      </c>
      <c r="N51" s="122">
        <v>442.38499999999999</v>
      </c>
      <c r="O51" s="122">
        <v>9.36</v>
      </c>
      <c r="P51" s="122">
        <f>AJ51*1000*AN51/100</f>
        <v>1421.5384615384617</v>
      </c>
      <c r="Q51" s="122">
        <f>N51*P51/1000</f>
        <v>628.86729230769231</v>
      </c>
      <c r="R51" s="122">
        <f>K51*P51/1000</f>
        <v>75.448153846153858</v>
      </c>
      <c r="S51" s="122"/>
      <c r="T51" s="122">
        <f>$AJ51*1000*$AN51*0.01*$N51*0.001</f>
        <v>628.86729230769231</v>
      </c>
      <c r="U51" s="122">
        <f>$AJ51*1000*$AN51*0.01*$K51*0.001</f>
        <v>75.448153846153858</v>
      </c>
      <c r="V51" s="123"/>
      <c r="W51" s="122"/>
      <c r="X51" s="122"/>
      <c r="Y51" s="122"/>
      <c r="Z51" s="122"/>
      <c r="AG51" s="124">
        <v>1.3</v>
      </c>
      <c r="AH51" s="1">
        <v>60</v>
      </c>
      <c r="AI51" s="1"/>
      <c r="AJ51" s="124">
        <f t="shared" si="1"/>
        <v>46.153846153846153</v>
      </c>
      <c r="AK51" s="1" t="s">
        <v>5</v>
      </c>
      <c r="AL51" s="122"/>
      <c r="AM51" s="122"/>
      <c r="AN51" s="122">
        <v>3.08</v>
      </c>
      <c r="AO51" s="122">
        <v>32.307692307692314</v>
      </c>
      <c r="AP51" s="122">
        <v>18.461538461538463</v>
      </c>
      <c r="AQ51" s="122">
        <v>83.076923076923094</v>
      </c>
      <c r="AR51" s="122">
        <v>4.6153846153846159</v>
      </c>
    </row>
    <row r="52" spans="1:44">
      <c r="A52" s="75">
        <v>51</v>
      </c>
      <c r="B52" s="109">
        <v>2003</v>
      </c>
      <c r="C52" s="117" t="s">
        <v>138</v>
      </c>
      <c r="D52" s="9" t="s">
        <v>108</v>
      </c>
      <c r="E52" s="9" t="s">
        <v>23</v>
      </c>
      <c r="F52" s="9" t="s">
        <v>38</v>
      </c>
      <c r="G52" s="9" t="s">
        <v>50</v>
      </c>
      <c r="H52" s="17">
        <v>37700</v>
      </c>
      <c r="I52" s="17"/>
      <c r="J52" s="18"/>
      <c r="K52" s="122"/>
      <c r="L52" s="122"/>
      <c r="M52" s="122"/>
      <c r="N52" s="122"/>
      <c r="O52" s="122"/>
      <c r="P52" s="122"/>
      <c r="Q52" s="122"/>
      <c r="R52" s="122"/>
      <c r="S52" s="122"/>
      <c r="T52" s="122"/>
      <c r="U52" s="122"/>
      <c r="V52" s="123"/>
      <c r="W52" s="122"/>
      <c r="X52" s="122"/>
      <c r="Y52" s="122"/>
      <c r="Z52" s="122"/>
      <c r="AG52" s="124">
        <v>1.3</v>
      </c>
      <c r="AH52" s="1">
        <v>30</v>
      </c>
      <c r="AI52" s="1"/>
      <c r="AJ52" s="124">
        <f t="shared" si="1"/>
        <v>23.076923076923077</v>
      </c>
      <c r="AK52" s="1" t="s">
        <v>3</v>
      </c>
      <c r="AL52" s="122"/>
      <c r="AM52" s="122"/>
      <c r="AN52" s="122"/>
      <c r="AO52" s="122"/>
      <c r="AP52" s="122"/>
      <c r="AQ52" s="122"/>
      <c r="AR52" s="122"/>
    </row>
    <row r="53" spans="1:44">
      <c r="A53" s="75">
        <v>52</v>
      </c>
      <c r="B53" s="109">
        <v>2003</v>
      </c>
      <c r="C53" s="117" t="s">
        <v>138</v>
      </c>
      <c r="D53" s="9" t="s">
        <v>108</v>
      </c>
      <c r="E53" s="9" t="s">
        <v>25</v>
      </c>
      <c r="F53" s="9" t="s">
        <v>35</v>
      </c>
      <c r="G53" s="9" t="s">
        <v>36</v>
      </c>
      <c r="H53" s="17">
        <v>37745</v>
      </c>
      <c r="I53" s="17">
        <v>37746</v>
      </c>
      <c r="J53" s="18">
        <v>1</v>
      </c>
      <c r="K53" s="122"/>
      <c r="L53" s="122"/>
      <c r="M53" s="122"/>
      <c r="N53" s="122"/>
      <c r="O53" s="122"/>
      <c r="P53" s="122"/>
      <c r="Q53" s="122"/>
      <c r="R53" s="122"/>
      <c r="S53" s="122">
        <f>AJ53*AM53*AN53*0.01</f>
        <v>2561.5384615384614</v>
      </c>
      <c r="T53" s="122">
        <f>S53*0.4089</f>
        <v>1047.4130769230769</v>
      </c>
      <c r="U53" s="122">
        <f>S53*0.0263</f>
        <v>67.368461538461531</v>
      </c>
      <c r="V53" s="123"/>
      <c r="W53" s="122"/>
      <c r="X53" s="122"/>
      <c r="Y53" s="122"/>
      <c r="Z53" s="122"/>
      <c r="AG53" s="124">
        <v>1.3</v>
      </c>
      <c r="AH53" s="1">
        <v>3</v>
      </c>
      <c r="AI53" s="1"/>
      <c r="AJ53" s="124">
        <f t="shared" si="1"/>
        <v>2.3076923076923075</v>
      </c>
      <c r="AK53" s="1" t="s">
        <v>67</v>
      </c>
      <c r="AL53" s="122"/>
      <c r="AM53" s="122">
        <v>3000</v>
      </c>
      <c r="AN53" s="122">
        <v>37</v>
      </c>
      <c r="AO53" s="122"/>
      <c r="AP53" s="122"/>
      <c r="AQ53" s="122"/>
      <c r="AR53" s="122"/>
    </row>
    <row r="54" spans="1:44">
      <c r="A54" s="75">
        <v>53</v>
      </c>
      <c r="B54" s="109">
        <v>2003</v>
      </c>
      <c r="C54" s="117" t="s">
        <v>138</v>
      </c>
      <c r="D54" s="9" t="s">
        <v>108</v>
      </c>
      <c r="E54" s="9" t="s">
        <v>25</v>
      </c>
      <c r="F54" s="9" t="s">
        <v>29</v>
      </c>
      <c r="G54" s="9" t="s">
        <v>44</v>
      </c>
      <c r="H54" s="17">
        <v>37760</v>
      </c>
      <c r="I54" s="17">
        <v>37795</v>
      </c>
      <c r="J54" s="18">
        <v>2</v>
      </c>
      <c r="K54" s="122"/>
      <c r="L54" s="122"/>
      <c r="M54" s="122"/>
      <c r="N54" s="122"/>
      <c r="O54" s="122"/>
      <c r="P54" s="122"/>
      <c r="Q54" s="122"/>
      <c r="R54" s="122"/>
      <c r="S54" s="122">
        <f>$AJ54*100</f>
        <v>549.45054945054937</v>
      </c>
      <c r="T54" s="122">
        <f>S54*0.4089</f>
        <v>224.67032967032964</v>
      </c>
      <c r="U54" s="122">
        <f>S54*0.0263</f>
        <v>14.450549450549449</v>
      </c>
      <c r="V54" s="123"/>
      <c r="W54" s="122"/>
      <c r="X54" s="122"/>
      <c r="Y54" s="122"/>
      <c r="Z54" s="122"/>
      <c r="AG54" s="124">
        <v>1.3</v>
      </c>
      <c r="AH54" s="1">
        <v>30</v>
      </c>
      <c r="AI54" s="1"/>
      <c r="AJ54" s="135">
        <v>5.4945054945054936</v>
      </c>
      <c r="AK54" s="136" t="s">
        <v>66</v>
      </c>
      <c r="AL54" s="122">
        <v>35</v>
      </c>
      <c r="AM54" s="122">
        <v>12</v>
      </c>
      <c r="AN54" s="122"/>
      <c r="AO54" s="122"/>
      <c r="AP54" s="122"/>
      <c r="AQ54" s="122"/>
      <c r="AR54" s="122"/>
    </row>
    <row r="55" spans="1:44">
      <c r="A55" s="75">
        <v>54</v>
      </c>
      <c r="B55" s="109">
        <v>2003</v>
      </c>
      <c r="C55" s="117" t="s">
        <v>138</v>
      </c>
      <c r="D55" s="9" t="s">
        <v>108</v>
      </c>
      <c r="E55" s="9" t="s">
        <v>25</v>
      </c>
      <c r="F55" s="9" t="s">
        <v>35</v>
      </c>
      <c r="G55" s="33" t="s">
        <v>43</v>
      </c>
      <c r="H55" s="17">
        <v>37795</v>
      </c>
      <c r="I55" s="17">
        <v>37796</v>
      </c>
      <c r="J55" s="18">
        <v>2</v>
      </c>
      <c r="K55" s="122"/>
      <c r="L55" s="122"/>
      <c r="M55" s="122"/>
      <c r="N55" s="122"/>
      <c r="O55" s="122"/>
      <c r="P55" s="122"/>
      <c r="Q55" s="122"/>
      <c r="R55" s="122"/>
      <c r="S55" s="122">
        <f>AJ55*AM55*AN55*0.01</f>
        <v>807.69230769230762</v>
      </c>
      <c r="T55" s="122">
        <f>S55*0.4089</f>
        <v>330.26538461538456</v>
      </c>
      <c r="U55" s="122">
        <f>S55*0.0263</f>
        <v>21.242307692307691</v>
      </c>
      <c r="V55" s="123"/>
      <c r="W55" s="122"/>
      <c r="X55" s="122"/>
      <c r="Y55" s="122"/>
      <c r="Z55" s="122"/>
      <c r="AG55" s="124">
        <v>1.3</v>
      </c>
      <c r="AH55" s="1">
        <v>1</v>
      </c>
      <c r="AI55" s="1"/>
      <c r="AJ55" s="124">
        <f>IF(AH55/AG55&gt;0, AH55/AG55,"")</f>
        <v>0.76923076923076916</v>
      </c>
      <c r="AK55" s="1" t="s">
        <v>67</v>
      </c>
      <c r="AL55" s="122"/>
      <c r="AM55" s="122">
        <v>1500</v>
      </c>
      <c r="AN55" s="122">
        <v>70</v>
      </c>
      <c r="AO55" s="122"/>
      <c r="AP55" s="122"/>
      <c r="AQ55" s="122"/>
      <c r="AR55" s="122"/>
    </row>
    <row r="56" spans="1:44">
      <c r="A56" s="75">
        <v>55</v>
      </c>
      <c r="B56" s="109">
        <v>2003</v>
      </c>
      <c r="C56" s="117" t="s">
        <v>138</v>
      </c>
      <c r="D56" s="9" t="s">
        <v>108</v>
      </c>
      <c r="E56" s="9" t="s">
        <v>25</v>
      </c>
      <c r="F56" s="9" t="s">
        <v>35</v>
      </c>
      <c r="G56" s="33" t="s">
        <v>43</v>
      </c>
      <c r="H56" s="17">
        <v>37830</v>
      </c>
      <c r="I56" s="17">
        <v>37832</v>
      </c>
      <c r="J56" s="18">
        <v>3</v>
      </c>
      <c r="K56" s="122"/>
      <c r="L56" s="122"/>
      <c r="M56" s="122"/>
      <c r="N56" s="122"/>
      <c r="O56" s="122"/>
      <c r="P56" s="122"/>
      <c r="Q56" s="122"/>
      <c r="R56" s="122"/>
      <c r="S56" s="122">
        <f>AJ56*AM56*AN56*0.01</f>
        <v>807.69230769230762</v>
      </c>
      <c r="T56" s="122">
        <f>S56*0.4089</f>
        <v>330.26538461538456</v>
      </c>
      <c r="U56" s="122">
        <f>S56*0.0263</f>
        <v>21.242307692307691</v>
      </c>
      <c r="V56" s="123"/>
      <c r="W56" s="122"/>
      <c r="X56" s="122"/>
      <c r="Y56" s="122"/>
      <c r="Z56" s="122"/>
      <c r="AG56" s="124">
        <v>1.3</v>
      </c>
      <c r="AH56" s="1">
        <v>1</v>
      </c>
      <c r="AI56" s="1"/>
      <c r="AJ56" s="124">
        <f>IF(AH56/AG56&gt;0, AH56/AG56,"")</f>
        <v>0.76923076923076916</v>
      </c>
      <c r="AK56" s="1" t="s">
        <v>67</v>
      </c>
      <c r="AL56" s="122"/>
      <c r="AM56" s="122">
        <v>1500</v>
      </c>
      <c r="AN56" s="122">
        <v>70</v>
      </c>
      <c r="AO56" s="122"/>
      <c r="AP56" s="122"/>
      <c r="AQ56" s="122"/>
      <c r="AR56" s="122"/>
    </row>
    <row r="57" spans="1:44">
      <c r="A57" s="75">
        <v>56</v>
      </c>
      <c r="B57" s="109">
        <v>2003</v>
      </c>
      <c r="C57" s="117" t="s">
        <v>138</v>
      </c>
      <c r="D57" s="9" t="s">
        <v>108</v>
      </c>
      <c r="E57" s="9" t="s">
        <v>17</v>
      </c>
      <c r="F57" s="9" t="s">
        <v>37</v>
      </c>
      <c r="G57" s="9" t="s">
        <v>48</v>
      </c>
      <c r="H57" s="17">
        <v>37838</v>
      </c>
      <c r="I57" s="17"/>
      <c r="J57" s="18"/>
      <c r="K57" s="122">
        <v>53.075000000000003</v>
      </c>
      <c r="L57" s="122">
        <v>23.815000000000001</v>
      </c>
      <c r="M57" s="125">
        <v>0.5</v>
      </c>
      <c r="N57" s="122">
        <v>442.38499999999999</v>
      </c>
      <c r="O57" s="122">
        <v>9.36</v>
      </c>
      <c r="P57" s="122">
        <f>AJ57*1000*AN57/100</f>
        <v>1468.9230769230771</v>
      </c>
      <c r="Q57" s="122">
        <f>N57*P57/1000</f>
        <v>649.82953538461538</v>
      </c>
      <c r="R57" s="122">
        <f>K57*P57/1000</f>
        <v>77.963092307692321</v>
      </c>
      <c r="S57" s="122"/>
      <c r="T57" s="122">
        <f>$AJ57*1000*$AN57*0.01*$N57*0.001</f>
        <v>649.82953538461538</v>
      </c>
      <c r="U57" s="122">
        <f>$AJ57*1000*$AN57*0.01*$K57*0.001</f>
        <v>77.963092307692321</v>
      </c>
      <c r="V57" s="123"/>
      <c r="W57" s="122"/>
      <c r="X57" s="122"/>
      <c r="Y57" s="122"/>
      <c r="Z57" s="122"/>
      <c r="AG57" s="124">
        <v>1.3</v>
      </c>
      <c r="AH57" s="1">
        <v>62</v>
      </c>
      <c r="AI57" s="1"/>
      <c r="AJ57" s="124">
        <f>IF(AH57/AG57&gt;0, AH57/AG57,"")</f>
        <v>47.692307692307693</v>
      </c>
      <c r="AK57" s="1" t="s">
        <v>5</v>
      </c>
      <c r="AL57" s="122"/>
      <c r="AM57" s="122"/>
      <c r="AN57" s="122">
        <v>3.08</v>
      </c>
      <c r="AO57" s="122">
        <v>33.384615384615387</v>
      </c>
      <c r="AP57" s="122">
        <v>19.07692307692308</v>
      </c>
      <c r="AQ57" s="122">
        <v>85.846153846153868</v>
      </c>
      <c r="AR57" s="122">
        <v>4.7692307692307701</v>
      </c>
    </row>
    <row r="58" spans="1:44">
      <c r="A58" s="75">
        <v>57</v>
      </c>
      <c r="B58" s="109">
        <v>2003</v>
      </c>
      <c r="C58" s="117" t="s">
        <v>138</v>
      </c>
      <c r="D58" s="9" t="s">
        <v>108</v>
      </c>
      <c r="E58" s="9" t="s">
        <v>25</v>
      </c>
      <c r="F58" s="9" t="s">
        <v>29</v>
      </c>
      <c r="G58" s="9" t="s">
        <v>47</v>
      </c>
      <c r="H58" s="17">
        <v>37858</v>
      </c>
      <c r="I58" s="17">
        <v>37869</v>
      </c>
      <c r="J58" s="18">
        <v>4</v>
      </c>
      <c r="K58" s="122"/>
      <c r="L58" s="122"/>
      <c r="M58" s="122"/>
      <c r="N58" s="122"/>
      <c r="O58" s="122"/>
      <c r="P58" s="122"/>
      <c r="Q58" s="122"/>
      <c r="R58" s="122"/>
      <c r="S58" s="122">
        <f>$AJ58*100</f>
        <v>2797.2027972027968</v>
      </c>
      <c r="T58" s="122">
        <f>S58*0.4089</f>
        <v>1143.7762237762236</v>
      </c>
      <c r="U58" s="122">
        <f>S58*0.0263</f>
        <v>73.56643356643356</v>
      </c>
      <c r="V58" s="123"/>
      <c r="W58" s="122"/>
      <c r="X58" s="122"/>
      <c r="Y58" s="122"/>
      <c r="Z58" s="122"/>
      <c r="AG58" s="124">
        <v>1.3</v>
      </c>
      <c r="AH58" s="1">
        <v>6</v>
      </c>
      <c r="AI58" s="1"/>
      <c r="AJ58" s="135">
        <v>27.97202797202797</v>
      </c>
      <c r="AK58" s="136" t="s">
        <v>66</v>
      </c>
      <c r="AL58" s="122">
        <v>11</v>
      </c>
      <c r="AM58" s="122">
        <v>1.5</v>
      </c>
      <c r="AN58" s="122"/>
      <c r="AO58" s="122"/>
      <c r="AP58" s="122"/>
      <c r="AQ58" s="122"/>
      <c r="AR58" s="122"/>
    </row>
    <row r="59" spans="1:44">
      <c r="A59" s="75">
        <v>58</v>
      </c>
      <c r="B59" s="109">
        <v>2003</v>
      </c>
      <c r="C59" s="117" t="s">
        <v>138</v>
      </c>
      <c r="D59" s="9" t="s">
        <v>108</v>
      </c>
      <c r="E59" s="9" t="s">
        <v>25</v>
      </c>
      <c r="F59" s="9" t="s">
        <v>35</v>
      </c>
      <c r="G59" s="34" t="s">
        <v>36</v>
      </c>
      <c r="H59" s="17">
        <v>37880</v>
      </c>
      <c r="I59" s="17">
        <v>37881</v>
      </c>
      <c r="J59" s="18">
        <v>4</v>
      </c>
      <c r="K59" s="122"/>
      <c r="L59" s="122"/>
      <c r="M59" s="122"/>
      <c r="N59" s="122"/>
      <c r="O59" s="122"/>
      <c r="P59" s="122"/>
      <c r="Q59" s="122"/>
      <c r="R59" s="122"/>
      <c r="S59" s="122">
        <f>AJ59*AM59*AN59*0.01</f>
        <v>426.92307692307691</v>
      </c>
      <c r="T59" s="122">
        <f>S59*0.4089</f>
        <v>174.56884615384615</v>
      </c>
      <c r="U59" s="122">
        <f>S59*0.0263</f>
        <v>11.228076923076923</v>
      </c>
      <c r="V59" s="123"/>
      <c r="W59" s="122"/>
      <c r="X59" s="122"/>
      <c r="Y59" s="122"/>
      <c r="Z59" s="122"/>
      <c r="AG59" s="124">
        <v>1.3</v>
      </c>
      <c r="AH59" s="1">
        <v>0.5</v>
      </c>
      <c r="AI59" s="1"/>
      <c r="AJ59" s="124">
        <f>IF(AH59/AG59&gt;0, AH59/AG59,"")</f>
        <v>0.38461538461538458</v>
      </c>
      <c r="AK59" s="1" t="s">
        <v>67</v>
      </c>
      <c r="AL59" s="122"/>
      <c r="AM59" s="122">
        <v>3000</v>
      </c>
      <c r="AN59" s="122">
        <v>37</v>
      </c>
      <c r="AO59" s="122"/>
      <c r="AP59" s="122"/>
      <c r="AQ59" s="122"/>
      <c r="AR59" s="122"/>
    </row>
    <row r="60" spans="1:44">
      <c r="A60" s="75">
        <v>59</v>
      </c>
      <c r="B60" s="109">
        <v>2003</v>
      </c>
      <c r="C60" s="117" t="s">
        <v>138</v>
      </c>
      <c r="D60" s="9" t="s">
        <v>108</v>
      </c>
      <c r="E60" s="9" t="s">
        <v>25</v>
      </c>
      <c r="F60" s="9" t="s">
        <v>29</v>
      </c>
      <c r="G60" s="34" t="s">
        <v>47</v>
      </c>
      <c r="H60" s="17">
        <v>37915</v>
      </c>
      <c r="I60" s="17">
        <v>37926</v>
      </c>
      <c r="J60" s="18">
        <v>5</v>
      </c>
      <c r="K60" s="122"/>
      <c r="L60" s="122"/>
      <c r="M60" s="122"/>
      <c r="N60" s="122"/>
      <c r="O60" s="122"/>
      <c r="P60" s="122"/>
      <c r="Q60" s="122"/>
      <c r="R60" s="122"/>
      <c r="S60" s="122">
        <f>$AJ60*100</f>
        <v>7459.2074592074578</v>
      </c>
      <c r="T60" s="122">
        <f>S60*0.4089</f>
        <v>3050.0699300699293</v>
      </c>
      <c r="U60" s="122">
        <f>S60*0.0263</f>
        <v>196.17715617715615</v>
      </c>
      <c r="V60" s="123"/>
      <c r="W60" s="122"/>
      <c r="X60" s="122"/>
      <c r="Y60" s="122"/>
      <c r="Z60" s="122"/>
      <c r="AG60" s="124">
        <v>1.3</v>
      </c>
      <c r="AH60" s="1">
        <v>16</v>
      </c>
      <c r="AI60" s="1"/>
      <c r="AJ60" s="135">
        <v>74.592074592074582</v>
      </c>
      <c r="AK60" s="136" t="s">
        <v>66</v>
      </c>
      <c r="AL60" s="122">
        <v>11</v>
      </c>
      <c r="AM60" s="122">
        <v>1.5</v>
      </c>
      <c r="AN60" s="122"/>
      <c r="AO60" s="122"/>
      <c r="AP60" s="122"/>
      <c r="AQ60" s="122"/>
      <c r="AR60" s="122"/>
    </row>
    <row r="61" spans="1:44">
      <c r="A61" s="75">
        <v>60</v>
      </c>
      <c r="B61" s="109">
        <v>2003</v>
      </c>
      <c r="C61" s="117" t="s">
        <v>138</v>
      </c>
      <c r="D61" s="9" t="s">
        <v>108</v>
      </c>
      <c r="E61" s="9" t="s">
        <v>17</v>
      </c>
      <c r="F61" s="9" t="s">
        <v>37</v>
      </c>
      <c r="G61" s="9" t="s">
        <v>48</v>
      </c>
      <c r="H61" s="17">
        <v>37931</v>
      </c>
      <c r="I61" s="17"/>
      <c r="J61" s="18"/>
      <c r="K61" s="122">
        <v>53.075000000000003</v>
      </c>
      <c r="L61" s="122">
        <v>23.815000000000001</v>
      </c>
      <c r="M61" s="125">
        <v>0.5</v>
      </c>
      <c r="N61" s="122">
        <v>442.38499999999999</v>
      </c>
      <c r="O61" s="122">
        <v>9.36</v>
      </c>
      <c r="P61" s="122">
        <f>AJ61*1000*AN61/100</f>
        <v>2369.2307692307695</v>
      </c>
      <c r="Q61" s="122">
        <f>N61*P61/1000</f>
        <v>1048.1121538461539</v>
      </c>
      <c r="R61" s="122">
        <f>K61*P61/1000</f>
        <v>125.7469230769231</v>
      </c>
      <c r="S61" s="122"/>
      <c r="T61" s="122">
        <f>$AJ61*1000*$AN61*0.01*$N61*0.001</f>
        <v>1048.1121538461541</v>
      </c>
      <c r="U61" s="122">
        <f>$AJ61*1000*$AN61*0.01*$K61*0.001</f>
        <v>125.7469230769231</v>
      </c>
      <c r="V61" s="123"/>
      <c r="W61" s="122"/>
      <c r="X61" s="122"/>
      <c r="Y61" s="122"/>
      <c r="Z61" s="122"/>
      <c r="AG61" s="124">
        <v>1.3</v>
      </c>
      <c r="AH61" s="1">
        <v>100</v>
      </c>
      <c r="AI61" s="1"/>
      <c r="AJ61" s="124">
        <f>IF(AH61/AG61&gt;0, AH61/AG61,"")</f>
        <v>76.92307692307692</v>
      </c>
      <c r="AK61" s="1" t="s">
        <v>5</v>
      </c>
      <c r="AL61" s="122"/>
      <c r="AM61" s="122"/>
      <c r="AN61" s="122">
        <v>3.08</v>
      </c>
      <c r="AO61" s="122">
        <v>107.69230769230771</v>
      </c>
      <c r="AP61" s="122">
        <v>46.15384615384616</v>
      </c>
      <c r="AQ61" s="122">
        <v>246.15384615384619</v>
      </c>
      <c r="AR61" s="122">
        <v>15.384615384615387</v>
      </c>
    </row>
    <row r="62" spans="1:44">
      <c r="A62" s="75">
        <v>61</v>
      </c>
      <c r="B62" s="109">
        <v>2003</v>
      </c>
      <c r="C62" s="117" t="s">
        <v>138</v>
      </c>
      <c r="D62" s="9" t="s">
        <v>108</v>
      </c>
      <c r="E62" s="9" t="s">
        <v>25</v>
      </c>
      <c r="F62" s="9" t="s">
        <v>29</v>
      </c>
      <c r="G62" s="9" t="s">
        <v>47</v>
      </c>
      <c r="H62" s="17">
        <v>37940</v>
      </c>
      <c r="I62" s="17">
        <v>37970</v>
      </c>
      <c r="J62" s="18"/>
      <c r="K62" s="122"/>
      <c r="L62" s="122"/>
      <c r="M62" s="122"/>
      <c r="N62" s="122"/>
      <c r="O62" s="122"/>
      <c r="P62" s="122"/>
      <c r="Q62" s="122"/>
      <c r="R62" s="122"/>
      <c r="S62" s="122">
        <f>$AJ62*100</f>
        <v>3333.3333333333335</v>
      </c>
      <c r="T62" s="122">
        <f>S62*0.4089</f>
        <v>1363</v>
      </c>
      <c r="U62" s="122">
        <f>S62*0.0263</f>
        <v>87.666666666666671</v>
      </c>
      <c r="V62" s="123"/>
      <c r="W62" s="122"/>
      <c r="X62" s="122"/>
      <c r="Y62" s="122"/>
      <c r="Z62" s="122"/>
      <c r="AG62" s="124">
        <v>1.3</v>
      </c>
      <c r="AH62" s="1">
        <v>19.5</v>
      </c>
      <c r="AI62" s="1"/>
      <c r="AJ62" s="135">
        <v>33.333333333333336</v>
      </c>
      <c r="AK62" s="136" t="s">
        <v>66</v>
      </c>
      <c r="AL62" s="122">
        <v>30</v>
      </c>
      <c r="AM62" s="122">
        <v>1.5</v>
      </c>
      <c r="AN62" s="122"/>
      <c r="AO62" s="122"/>
      <c r="AP62" s="122"/>
      <c r="AQ62" s="122"/>
      <c r="AR62" s="122"/>
    </row>
    <row r="63" spans="1:44">
      <c r="A63" s="75">
        <v>62</v>
      </c>
      <c r="B63" s="109">
        <v>2003</v>
      </c>
      <c r="C63" s="118" t="s">
        <v>139</v>
      </c>
      <c r="D63" s="9" t="s">
        <v>108</v>
      </c>
      <c r="E63" s="9" t="s">
        <v>17</v>
      </c>
      <c r="F63" s="9" t="s">
        <v>37</v>
      </c>
      <c r="G63" s="9" t="s">
        <v>48</v>
      </c>
      <c r="H63" s="17">
        <v>37692</v>
      </c>
      <c r="I63" s="17"/>
      <c r="J63" s="18"/>
      <c r="K63" s="122">
        <v>53.075000000000003</v>
      </c>
      <c r="L63" s="122">
        <v>23.815000000000001</v>
      </c>
      <c r="M63" s="125">
        <v>0.5</v>
      </c>
      <c r="N63" s="122">
        <v>442.38499999999999</v>
      </c>
      <c r="O63" s="122">
        <v>9.36</v>
      </c>
      <c r="P63" s="122">
        <f>AJ63*1000*AN63/100</f>
        <v>1232</v>
      </c>
      <c r="Q63" s="122">
        <f>N63*P63/1000</f>
        <v>545.0183199999999</v>
      </c>
      <c r="R63" s="122">
        <f>K63*P63/1000</f>
        <v>65.388400000000004</v>
      </c>
      <c r="S63" s="122"/>
      <c r="T63" s="122">
        <f>$AJ63*1000*$AN63*0.01*$N63*0.001</f>
        <v>545.0183199999999</v>
      </c>
      <c r="U63" s="122">
        <f>$AJ63*1000*$AN63*0.01*$K63*0.001</f>
        <v>65.388400000000004</v>
      </c>
      <c r="V63" s="123"/>
      <c r="W63" s="122"/>
      <c r="X63" s="122"/>
      <c r="Y63" s="122"/>
      <c r="Z63" s="122"/>
      <c r="AG63" s="124">
        <v>3.2</v>
      </c>
      <c r="AH63" s="1">
        <v>128</v>
      </c>
      <c r="AI63" s="1"/>
      <c r="AJ63" s="124">
        <f>IF(AH63/AG63&gt;0, AH63/AG63,"")</f>
        <v>40</v>
      </c>
      <c r="AK63" s="1" t="s">
        <v>5</v>
      </c>
      <c r="AL63" s="122"/>
      <c r="AM63" s="122"/>
      <c r="AN63" s="122">
        <v>3.08</v>
      </c>
      <c r="AO63" s="122">
        <v>28</v>
      </c>
      <c r="AP63" s="122">
        <v>16.000000000000004</v>
      </c>
      <c r="AQ63" s="122">
        <v>72.000000000000014</v>
      </c>
      <c r="AR63" s="122">
        <v>4.0000000000000009</v>
      </c>
    </row>
    <row r="64" spans="1:44">
      <c r="A64" s="75">
        <v>63</v>
      </c>
      <c r="B64" s="109">
        <v>2003</v>
      </c>
      <c r="C64" s="118" t="s">
        <v>139</v>
      </c>
      <c r="D64" s="9" t="s">
        <v>108</v>
      </c>
      <c r="E64" s="9" t="s">
        <v>23</v>
      </c>
      <c r="F64" s="9" t="s">
        <v>38</v>
      </c>
      <c r="G64" s="9" t="s">
        <v>50</v>
      </c>
      <c r="H64" s="17">
        <v>37699</v>
      </c>
      <c r="I64" s="17"/>
      <c r="J64" s="18"/>
      <c r="K64" s="122"/>
      <c r="L64" s="122"/>
      <c r="M64" s="122"/>
      <c r="N64" s="122"/>
      <c r="O64" s="122"/>
      <c r="P64" s="122"/>
      <c r="Q64" s="122"/>
      <c r="R64" s="122"/>
      <c r="S64" s="122"/>
      <c r="T64" s="122"/>
      <c r="U64" s="122"/>
      <c r="V64" s="123"/>
      <c r="W64" s="122"/>
      <c r="X64" s="122"/>
      <c r="Y64" s="122"/>
      <c r="Z64" s="122"/>
      <c r="AG64" s="124">
        <v>3.2</v>
      </c>
      <c r="AH64" s="1">
        <v>64</v>
      </c>
      <c r="AI64" s="1"/>
      <c r="AJ64" s="124">
        <f>IF(AH64/AG64&gt;0, AH64/AG64,"")</f>
        <v>20</v>
      </c>
      <c r="AK64" s="1" t="s">
        <v>3</v>
      </c>
      <c r="AL64" s="122"/>
      <c r="AM64" s="122"/>
      <c r="AN64" s="122"/>
      <c r="AO64" s="122"/>
      <c r="AP64" s="122"/>
      <c r="AQ64" s="122"/>
      <c r="AR64" s="122"/>
    </row>
    <row r="65" spans="1:44">
      <c r="A65" s="75">
        <v>64</v>
      </c>
      <c r="B65" s="109">
        <v>2003</v>
      </c>
      <c r="C65" s="118" t="s">
        <v>139</v>
      </c>
      <c r="D65" s="9" t="s">
        <v>108</v>
      </c>
      <c r="E65" s="9" t="s">
        <v>25</v>
      </c>
      <c r="F65" s="9" t="s">
        <v>35</v>
      </c>
      <c r="G65" s="9" t="s">
        <v>36</v>
      </c>
      <c r="H65" s="17">
        <v>37745</v>
      </c>
      <c r="I65" s="17">
        <v>37746</v>
      </c>
      <c r="J65" s="18">
        <v>1</v>
      </c>
      <c r="K65" s="122"/>
      <c r="L65" s="122"/>
      <c r="M65" s="122"/>
      <c r="N65" s="122"/>
      <c r="O65" s="122"/>
      <c r="P65" s="122"/>
      <c r="Q65" s="122"/>
      <c r="R65" s="122"/>
      <c r="S65" s="122">
        <f>AJ65*AM65*AN65*0.01</f>
        <v>1214.0625</v>
      </c>
      <c r="T65" s="122">
        <f>$S65*0.4089</f>
        <v>496.43015624999998</v>
      </c>
      <c r="U65" s="122">
        <f>$S65*0.0263</f>
        <v>31.92984375</v>
      </c>
      <c r="V65" s="123"/>
      <c r="W65" s="122"/>
      <c r="X65" s="122"/>
      <c r="Y65" s="122"/>
      <c r="Z65" s="122"/>
      <c r="AG65" s="124">
        <v>3.2</v>
      </c>
      <c r="AH65" s="1">
        <v>3.5</v>
      </c>
      <c r="AI65" s="1"/>
      <c r="AJ65" s="124">
        <f>IF(AH65/AG65&gt;0, AH65/AG65,"")</f>
        <v>1.09375</v>
      </c>
      <c r="AK65" s="1" t="s">
        <v>67</v>
      </c>
      <c r="AL65" s="122"/>
      <c r="AM65" s="122">
        <v>3000</v>
      </c>
      <c r="AN65" s="122">
        <v>37</v>
      </c>
      <c r="AO65" s="122"/>
      <c r="AP65" s="122"/>
      <c r="AQ65" s="122"/>
      <c r="AR65" s="122"/>
    </row>
    <row r="66" spans="1:44">
      <c r="A66" s="75">
        <v>65</v>
      </c>
      <c r="B66" s="109">
        <v>2003</v>
      </c>
      <c r="C66" s="118" t="s">
        <v>139</v>
      </c>
      <c r="D66" s="9" t="s">
        <v>108</v>
      </c>
      <c r="E66" s="9" t="s">
        <v>17</v>
      </c>
      <c r="F66" s="9" t="s">
        <v>37</v>
      </c>
      <c r="G66" s="9" t="s">
        <v>48</v>
      </c>
      <c r="H66" s="17">
        <v>37750</v>
      </c>
      <c r="I66" s="17"/>
      <c r="J66" s="18"/>
      <c r="K66" s="122">
        <v>53.075000000000003</v>
      </c>
      <c r="L66" s="122">
        <v>23.815000000000001</v>
      </c>
      <c r="M66" s="125">
        <v>0.5</v>
      </c>
      <c r="N66" s="122">
        <v>442.38499999999999</v>
      </c>
      <c r="O66" s="122">
        <v>9.36</v>
      </c>
      <c r="P66" s="122">
        <f>AJ66*1000*AN66/100</f>
        <v>1106.875</v>
      </c>
      <c r="Q66" s="122">
        <f>N66*P66/1000</f>
        <v>489.66489687499995</v>
      </c>
      <c r="R66" s="122">
        <f>K66*P66/1000</f>
        <v>58.747390625000001</v>
      </c>
      <c r="S66" s="122"/>
      <c r="T66" s="122">
        <f>$AJ66*1000*$AN66*0.01*$N66*0.001</f>
        <v>489.66489687500001</v>
      </c>
      <c r="U66" s="122">
        <f>$AJ66*1000*$AN66*0.01*$K66*0.001</f>
        <v>58.747390625000001</v>
      </c>
      <c r="V66" s="123"/>
      <c r="W66" s="122"/>
      <c r="X66" s="122"/>
      <c r="Y66" s="122"/>
      <c r="Z66" s="122"/>
      <c r="AG66" s="124">
        <v>3.2</v>
      </c>
      <c r="AH66" s="1">
        <v>115</v>
      </c>
      <c r="AI66" s="1"/>
      <c r="AJ66" s="124">
        <f>IF(AH66/AG66&gt;0, AH66/AG66,"")</f>
        <v>35.9375</v>
      </c>
      <c r="AK66" s="1" t="s">
        <v>5</v>
      </c>
      <c r="AL66" s="122"/>
      <c r="AM66" s="122"/>
      <c r="AN66" s="122">
        <v>3.08</v>
      </c>
      <c r="AO66" s="122">
        <v>25.156250000000004</v>
      </c>
      <c r="AP66" s="122">
        <v>14.375000000000002</v>
      </c>
      <c r="AQ66" s="122">
        <v>64.6875</v>
      </c>
      <c r="AR66" s="122">
        <v>3.5937500000000004</v>
      </c>
    </row>
    <row r="67" spans="1:44">
      <c r="A67" s="75">
        <v>66</v>
      </c>
      <c r="B67" s="109">
        <v>2003</v>
      </c>
      <c r="C67" s="118" t="s">
        <v>139</v>
      </c>
      <c r="D67" s="9" t="s">
        <v>108</v>
      </c>
      <c r="E67" s="9" t="s">
        <v>25</v>
      </c>
      <c r="F67" s="9" t="s">
        <v>29</v>
      </c>
      <c r="G67" s="9" t="s">
        <v>44</v>
      </c>
      <c r="H67" s="17">
        <v>37760</v>
      </c>
      <c r="I67" s="17">
        <v>37795</v>
      </c>
      <c r="J67" s="18">
        <v>2</v>
      </c>
      <c r="K67" s="122"/>
      <c r="L67" s="122"/>
      <c r="M67" s="122"/>
      <c r="N67" s="122"/>
      <c r="O67" s="122"/>
      <c r="P67" s="122"/>
      <c r="Q67" s="122"/>
      <c r="R67" s="122"/>
      <c r="S67" s="122">
        <f>$AJ67*100</f>
        <v>297.61904761904765</v>
      </c>
      <c r="T67" s="122">
        <f>$S67*0.4089</f>
        <v>121.69642857142858</v>
      </c>
      <c r="U67" s="122">
        <f>$S67*0.0263</f>
        <v>7.8273809523809534</v>
      </c>
      <c r="V67" s="123"/>
      <c r="W67" s="122"/>
      <c r="X67" s="122"/>
      <c r="Y67" s="122"/>
      <c r="Z67" s="122"/>
      <c r="AG67" s="124">
        <v>3.2</v>
      </c>
      <c r="AH67" s="1">
        <v>40</v>
      </c>
      <c r="AI67" s="1"/>
      <c r="AJ67" s="135">
        <v>2.9761904761904763</v>
      </c>
      <c r="AK67" s="136" t="s">
        <v>66</v>
      </c>
      <c r="AL67" s="122">
        <v>35</v>
      </c>
      <c r="AM67" s="122">
        <v>12</v>
      </c>
      <c r="AN67" s="122"/>
      <c r="AO67" s="122"/>
      <c r="AP67" s="122"/>
      <c r="AQ67" s="122"/>
      <c r="AR67" s="122"/>
    </row>
    <row r="68" spans="1:44">
      <c r="A68" s="75">
        <v>67</v>
      </c>
      <c r="B68" s="109">
        <v>2003</v>
      </c>
      <c r="C68" s="118" t="s">
        <v>139</v>
      </c>
      <c r="D68" s="9" t="s">
        <v>108</v>
      </c>
      <c r="E68" s="9" t="s">
        <v>25</v>
      </c>
      <c r="F68" s="9" t="s">
        <v>35</v>
      </c>
      <c r="G68" s="33" t="s">
        <v>43</v>
      </c>
      <c r="H68" s="17">
        <v>37795</v>
      </c>
      <c r="I68" s="17">
        <v>37796</v>
      </c>
      <c r="J68" s="18">
        <v>2</v>
      </c>
      <c r="K68" s="122"/>
      <c r="L68" s="122"/>
      <c r="M68" s="122"/>
      <c r="N68" s="122"/>
      <c r="O68" s="122"/>
      <c r="P68" s="122"/>
      <c r="Q68" s="122"/>
      <c r="R68" s="122"/>
      <c r="S68" s="122">
        <f>AJ68*AM68*AN68*0.01</f>
        <v>1968.75</v>
      </c>
      <c r="T68" s="122">
        <f>$S68*0.4089</f>
        <v>805.02187500000002</v>
      </c>
      <c r="U68" s="122">
        <f>$S68*0.0263</f>
        <v>51.778125000000003</v>
      </c>
      <c r="V68" s="123"/>
      <c r="W68" s="122"/>
      <c r="X68" s="122"/>
      <c r="Y68" s="122"/>
      <c r="Z68" s="122"/>
      <c r="AG68" s="124">
        <v>3.2</v>
      </c>
      <c r="AH68" s="1">
        <v>6</v>
      </c>
      <c r="AI68" s="1"/>
      <c r="AJ68" s="124">
        <f>IF(AH68/AG68&gt;0, AH68/AG68,"")</f>
        <v>1.875</v>
      </c>
      <c r="AK68" s="1" t="s">
        <v>67</v>
      </c>
      <c r="AL68" s="122"/>
      <c r="AM68" s="122">
        <v>1500</v>
      </c>
      <c r="AN68" s="122">
        <v>70</v>
      </c>
      <c r="AO68" s="122"/>
      <c r="AP68" s="122"/>
      <c r="AQ68" s="122"/>
      <c r="AR68" s="122"/>
    </row>
    <row r="69" spans="1:44">
      <c r="A69" s="75">
        <v>68</v>
      </c>
      <c r="B69" s="109">
        <v>2003</v>
      </c>
      <c r="C69" s="118" t="s">
        <v>139</v>
      </c>
      <c r="D69" s="9" t="s">
        <v>108</v>
      </c>
      <c r="E69" s="9" t="s">
        <v>25</v>
      </c>
      <c r="F69" s="9" t="s">
        <v>35</v>
      </c>
      <c r="G69" s="9" t="s">
        <v>36</v>
      </c>
      <c r="H69" s="17">
        <v>37837</v>
      </c>
      <c r="I69" s="17">
        <v>37838</v>
      </c>
      <c r="J69" s="18">
        <v>3</v>
      </c>
      <c r="K69" s="122"/>
      <c r="L69" s="122"/>
      <c r="M69" s="122"/>
      <c r="N69" s="122"/>
      <c r="O69" s="122"/>
      <c r="P69" s="122"/>
      <c r="Q69" s="122"/>
      <c r="R69" s="122"/>
      <c r="S69" s="122">
        <f>AJ69*AM69*AN69*0.01</f>
        <v>1040.625</v>
      </c>
      <c r="T69" s="122">
        <f>$S69*0.4089</f>
        <v>425.51156249999997</v>
      </c>
      <c r="U69" s="122">
        <f>$S69*0.0263</f>
        <v>27.368437499999999</v>
      </c>
      <c r="V69" s="123"/>
      <c r="W69" s="122"/>
      <c r="X69" s="122"/>
      <c r="Y69" s="122"/>
      <c r="Z69" s="122"/>
      <c r="AG69" s="124">
        <v>3.2</v>
      </c>
      <c r="AH69" s="1">
        <v>3</v>
      </c>
      <c r="AI69" s="1"/>
      <c r="AJ69" s="124">
        <f>IF(AH69/AG69&gt;0, AH69/AG69,"")</f>
        <v>0.9375</v>
      </c>
      <c r="AK69" s="1" t="s">
        <v>67</v>
      </c>
      <c r="AL69" s="122"/>
      <c r="AM69" s="122">
        <v>3000</v>
      </c>
      <c r="AN69" s="122">
        <v>37</v>
      </c>
      <c r="AO69" s="122"/>
      <c r="AP69" s="122"/>
      <c r="AQ69" s="122"/>
      <c r="AR69" s="122"/>
    </row>
    <row r="70" spans="1:44">
      <c r="A70" s="75">
        <v>69</v>
      </c>
      <c r="B70" s="109">
        <v>2003</v>
      </c>
      <c r="C70" s="118" t="s">
        <v>139</v>
      </c>
      <c r="D70" s="9" t="s">
        <v>108</v>
      </c>
      <c r="E70" s="9" t="s">
        <v>17</v>
      </c>
      <c r="F70" s="9" t="s">
        <v>37</v>
      </c>
      <c r="G70" s="9" t="s">
        <v>48</v>
      </c>
      <c r="H70" s="17">
        <v>37840</v>
      </c>
      <c r="I70" s="17"/>
      <c r="J70" s="18"/>
      <c r="K70" s="122">
        <v>53.075000000000003</v>
      </c>
      <c r="L70" s="122">
        <v>23.815000000000001</v>
      </c>
      <c r="M70" s="125">
        <v>0.5</v>
      </c>
      <c r="N70" s="122">
        <v>442.38499999999999</v>
      </c>
      <c r="O70" s="122">
        <v>9.36</v>
      </c>
      <c r="P70" s="122">
        <f>AJ70*1000*AN70/100</f>
        <v>1443.75</v>
      </c>
      <c r="Q70" s="122">
        <f>N70*P70/1000</f>
        <v>638.69334375000005</v>
      </c>
      <c r="R70" s="122">
        <f>K70*P70/1000</f>
        <v>76.627031250000002</v>
      </c>
      <c r="S70" s="122"/>
      <c r="T70" s="122">
        <f>$AJ70*1000*$AN70*0.01*$N70*0.001</f>
        <v>638.69334375000005</v>
      </c>
      <c r="U70" s="122">
        <f>$AJ70*1000*$AN70*0.01*$K70*0.001</f>
        <v>76.627031250000002</v>
      </c>
      <c r="V70" s="123"/>
      <c r="W70" s="122"/>
      <c r="X70" s="122"/>
      <c r="Y70" s="122"/>
      <c r="Z70" s="122"/>
      <c r="AG70" s="124">
        <v>3.2</v>
      </c>
      <c r="AH70" s="1">
        <v>150</v>
      </c>
      <c r="AI70" s="1"/>
      <c r="AJ70" s="124">
        <f>IF(AH70/AG70&gt;0, AH70/AG70,"")</f>
        <v>46.875</v>
      </c>
      <c r="AK70" s="1" t="s">
        <v>5</v>
      </c>
      <c r="AL70" s="122"/>
      <c r="AM70" s="122"/>
      <c r="AN70" s="122">
        <v>3.08</v>
      </c>
      <c r="AO70" s="122">
        <v>32.8125</v>
      </c>
      <c r="AP70" s="122">
        <v>18.75</v>
      </c>
      <c r="AQ70" s="122">
        <v>84.375</v>
      </c>
      <c r="AR70" s="122">
        <v>4.6875</v>
      </c>
    </row>
    <row r="71" spans="1:44">
      <c r="A71" s="75">
        <v>70</v>
      </c>
      <c r="B71" s="109">
        <v>2003</v>
      </c>
      <c r="C71" s="118" t="s">
        <v>139</v>
      </c>
      <c r="D71" s="9" t="s">
        <v>108</v>
      </c>
      <c r="E71" s="9" t="s">
        <v>25</v>
      </c>
      <c r="F71" s="9" t="s">
        <v>35</v>
      </c>
      <c r="G71" s="34" t="s">
        <v>36</v>
      </c>
      <c r="H71" s="17">
        <v>37877</v>
      </c>
      <c r="I71" s="17">
        <v>37880</v>
      </c>
      <c r="J71" s="18">
        <v>4</v>
      </c>
      <c r="K71" s="122"/>
      <c r="L71" s="122"/>
      <c r="M71" s="122"/>
      <c r="N71" s="122"/>
      <c r="O71" s="122"/>
      <c r="P71" s="122"/>
      <c r="Q71" s="122"/>
      <c r="R71" s="122"/>
      <c r="S71" s="122">
        <f>AJ71*AM71*AN71*0.01</f>
        <v>520.3125</v>
      </c>
      <c r="T71" s="122">
        <f>$S71*0.4089</f>
        <v>212.75578124999998</v>
      </c>
      <c r="U71" s="122">
        <f>$S71*0.0263</f>
        <v>13.684218749999999</v>
      </c>
      <c r="V71" s="123"/>
      <c r="W71" s="122"/>
      <c r="X71" s="122"/>
      <c r="Y71" s="122"/>
      <c r="Z71" s="122"/>
      <c r="AG71" s="124">
        <v>3.2</v>
      </c>
      <c r="AH71" s="1">
        <v>1.5</v>
      </c>
      <c r="AI71" s="1"/>
      <c r="AJ71" s="124">
        <f>IF(AH71/AG71&gt;0, AH71/AG71,"")</f>
        <v>0.46875</v>
      </c>
      <c r="AK71" s="1" t="s">
        <v>67</v>
      </c>
      <c r="AL71" s="122"/>
      <c r="AM71" s="122">
        <v>3000</v>
      </c>
      <c r="AN71" s="122">
        <v>37</v>
      </c>
      <c r="AO71" s="122"/>
      <c r="AP71" s="122"/>
      <c r="AQ71" s="122"/>
      <c r="AR71" s="122"/>
    </row>
    <row r="72" spans="1:44">
      <c r="A72" s="75">
        <v>71</v>
      </c>
      <c r="B72" s="109">
        <v>2003</v>
      </c>
      <c r="C72" s="118" t="s">
        <v>139</v>
      </c>
      <c r="D72" s="9" t="s">
        <v>108</v>
      </c>
      <c r="E72" s="9" t="s">
        <v>26</v>
      </c>
      <c r="F72" s="9" t="s">
        <v>33</v>
      </c>
      <c r="G72" s="9" t="s">
        <v>120</v>
      </c>
      <c r="H72" s="17">
        <v>37886</v>
      </c>
      <c r="I72" s="17"/>
      <c r="J72" s="18"/>
      <c r="K72" s="122"/>
      <c r="L72" s="122"/>
      <c r="M72" s="122"/>
      <c r="N72" s="122"/>
      <c r="O72" s="122"/>
      <c r="P72" s="122"/>
      <c r="Q72" s="122"/>
      <c r="R72" s="122"/>
      <c r="S72" s="122"/>
      <c r="T72" s="122"/>
      <c r="U72" s="122"/>
      <c r="V72" s="123"/>
      <c r="W72" s="122"/>
      <c r="X72" s="122"/>
      <c r="Y72" s="122"/>
      <c r="Z72" s="122"/>
      <c r="AG72" s="124">
        <v>3.2</v>
      </c>
      <c r="AH72" s="1">
        <v>10</v>
      </c>
      <c r="AI72" s="1"/>
      <c r="AJ72" s="124">
        <f>IF(AH72/AG72&gt;0, AH72/AG72,"")</f>
        <v>3.125</v>
      </c>
      <c r="AK72" s="1" t="s">
        <v>6</v>
      </c>
      <c r="AL72" s="122"/>
      <c r="AM72" s="122"/>
      <c r="AN72" s="122"/>
      <c r="AO72" s="122"/>
      <c r="AP72" s="122"/>
      <c r="AQ72" s="122"/>
      <c r="AR72" s="122"/>
    </row>
    <row r="73" spans="1:44">
      <c r="A73" s="75">
        <v>72</v>
      </c>
      <c r="B73" s="109">
        <v>2003</v>
      </c>
      <c r="C73" s="118" t="s">
        <v>139</v>
      </c>
      <c r="D73" s="9" t="s">
        <v>108</v>
      </c>
      <c r="E73" s="9" t="s">
        <v>25</v>
      </c>
      <c r="F73" s="9" t="s">
        <v>29</v>
      </c>
      <c r="G73" s="9" t="s">
        <v>47</v>
      </c>
      <c r="H73" s="17">
        <v>37915</v>
      </c>
      <c r="I73" s="17">
        <v>37926</v>
      </c>
      <c r="J73" s="18">
        <v>5</v>
      </c>
      <c r="K73" s="122"/>
      <c r="L73" s="122"/>
      <c r="M73" s="122"/>
      <c r="N73" s="122"/>
      <c r="O73" s="122"/>
      <c r="P73" s="122"/>
      <c r="Q73" s="122"/>
      <c r="R73" s="122"/>
      <c r="S73" s="122">
        <f>$AJ73*100</f>
        <v>3030.30303030303</v>
      </c>
      <c r="T73" s="122">
        <f>$S73*0.4089</f>
        <v>1239.090909090909</v>
      </c>
      <c r="U73" s="122">
        <f>$S73*0.0263</f>
        <v>79.696969696969688</v>
      </c>
      <c r="V73" s="123"/>
      <c r="W73" s="122"/>
      <c r="X73" s="122"/>
      <c r="Y73" s="122"/>
      <c r="Z73" s="122"/>
      <c r="AG73" s="124">
        <v>3.2</v>
      </c>
      <c r="AH73" s="1">
        <v>16</v>
      </c>
      <c r="AI73" s="1"/>
      <c r="AJ73" s="135">
        <v>30.303030303030301</v>
      </c>
      <c r="AK73" s="136" t="s">
        <v>66</v>
      </c>
      <c r="AL73" s="122">
        <v>11</v>
      </c>
      <c r="AM73" s="122">
        <v>1.5</v>
      </c>
      <c r="AN73" s="122"/>
      <c r="AO73" s="122"/>
      <c r="AP73" s="122"/>
      <c r="AQ73" s="122"/>
      <c r="AR73" s="122"/>
    </row>
    <row r="74" spans="1:44">
      <c r="A74" s="75">
        <v>73</v>
      </c>
      <c r="B74" s="109">
        <v>2003</v>
      </c>
      <c r="C74" s="118" t="s">
        <v>139</v>
      </c>
      <c r="D74" s="9" t="s">
        <v>108</v>
      </c>
      <c r="E74" s="9" t="s">
        <v>25</v>
      </c>
      <c r="F74" s="9" t="s">
        <v>29</v>
      </c>
      <c r="G74" s="9" t="s">
        <v>47</v>
      </c>
      <c r="H74" s="17">
        <v>37940</v>
      </c>
      <c r="I74" s="17">
        <v>37970</v>
      </c>
      <c r="J74" s="18"/>
      <c r="K74" s="122"/>
      <c r="L74" s="122"/>
      <c r="M74" s="122"/>
      <c r="N74" s="122"/>
      <c r="O74" s="122"/>
      <c r="P74" s="122"/>
      <c r="Q74" s="122"/>
      <c r="R74" s="122"/>
      <c r="S74" s="122">
        <f>$AJ74*100</f>
        <v>3333.3333333333335</v>
      </c>
      <c r="T74" s="122">
        <f>$S74*0.4089</f>
        <v>1363</v>
      </c>
      <c r="U74" s="122">
        <f>$S74*0.0263</f>
        <v>87.666666666666671</v>
      </c>
      <c r="V74" s="123"/>
      <c r="W74" s="122"/>
      <c r="X74" s="122"/>
      <c r="Y74" s="122"/>
      <c r="Z74" s="122"/>
      <c r="AG74" s="124">
        <v>3.2</v>
      </c>
      <c r="AH74" s="1">
        <v>48</v>
      </c>
      <c r="AI74" s="1"/>
      <c r="AJ74" s="135">
        <v>33.333333333333336</v>
      </c>
      <c r="AK74" s="136" t="s">
        <v>66</v>
      </c>
      <c r="AL74" s="122">
        <v>30</v>
      </c>
      <c r="AM74" s="122">
        <v>1.5</v>
      </c>
      <c r="AN74" s="122"/>
      <c r="AO74" s="122"/>
      <c r="AP74" s="122"/>
      <c r="AQ74" s="122"/>
      <c r="AR74" s="122"/>
    </row>
    <row r="75" spans="1:44">
      <c r="A75" s="75">
        <v>74</v>
      </c>
      <c r="B75" s="109">
        <v>2003</v>
      </c>
      <c r="C75" s="118" t="s">
        <v>139</v>
      </c>
      <c r="D75" s="9" t="s">
        <v>108</v>
      </c>
      <c r="E75" s="9" t="s">
        <v>17</v>
      </c>
      <c r="F75" s="9" t="s">
        <v>37</v>
      </c>
      <c r="G75" s="9" t="s">
        <v>48</v>
      </c>
      <c r="H75" s="17">
        <v>37949</v>
      </c>
      <c r="I75" s="17"/>
      <c r="J75" s="18"/>
      <c r="K75" s="122">
        <v>53.075000000000003</v>
      </c>
      <c r="L75" s="122">
        <v>23.815000000000001</v>
      </c>
      <c r="M75" s="125">
        <v>0.5</v>
      </c>
      <c r="N75" s="122">
        <v>442.38499999999999</v>
      </c>
      <c r="O75" s="122">
        <v>9.36</v>
      </c>
      <c r="P75" s="122">
        <f>AJ75*1000*AN75/100</f>
        <v>1106.875</v>
      </c>
      <c r="Q75" s="122">
        <f>N75*P75/1000</f>
        <v>489.66489687499995</v>
      </c>
      <c r="R75" s="122">
        <f>K75*P75/1000</f>
        <v>58.747390625000001</v>
      </c>
      <c r="S75" s="122"/>
      <c r="T75" s="122">
        <f>$AJ75*1000*$AN75*0.01*$N75*0.001</f>
        <v>489.66489687500001</v>
      </c>
      <c r="U75" s="122">
        <f>$AJ75*1000*$AN75*0.01*$K75*0.001</f>
        <v>58.747390625000001</v>
      </c>
      <c r="V75" s="123"/>
      <c r="W75" s="122"/>
      <c r="X75" s="122"/>
      <c r="Y75" s="122"/>
      <c r="Z75" s="122"/>
      <c r="AG75" s="124">
        <v>3.2</v>
      </c>
      <c r="AH75" s="1">
        <v>115</v>
      </c>
      <c r="AI75" s="1"/>
      <c r="AJ75" s="124">
        <f>IF(AH75/AG75&gt;0, AH75/AG75,"")</f>
        <v>35.9375</v>
      </c>
      <c r="AK75" s="1" t="s">
        <v>5</v>
      </c>
      <c r="AL75" s="122"/>
      <c r="AM75" s="122"/>
      <c r="AN75" s="122">
        <v>3.08</v>
      </c>
      <c r="AO75" s="122">
        <v>50.312500000000007</v>
      </c>
      <c r="AP75" s="122">
        <v>21.562500000000004</v>
      </c>
      <c r="AQ75" s="122">
        <v>115.00000000000001</v>
      </c>
      <c r="AR75" s="122">
        <v>7.1875000000000009</v>
      </c>
    </row>
    <row r="76" spans="1:44">
      <c r="A76" s="75">
        <v>75</v>
      </c>
      <c r="B76" s="116">
        <v>2004</v>
      </c>
      <c r="C76" s="117" t="s">
        <v>138</v>
      </c>
      <c r="D76" s="9" t="s">
        <v>108</v>
      </c>
      <c r="E76" s="9" t="s">
        <v>17</v>
      </c>
      <c r="F76" s="9" t="s">
        <v>37</v>
      </c>
      <c r="G76" s="9" t="s">
        <v>46</v>
      </c>
      <c r="H76" s="17">
        <v>38033</v>
      </c>
      <c r="I76" s="17"/>
      <c r="J76" s="18"/>
      <c r="K76" s="122">
        <v>32.07</v>
      </c>
      <c r="L76" s="122">
        <v>3.6</v>
      </c>
      <c r="M76" s="125">
        <v>0.5</v>
      </c>
      <c r="N76" s="122">
        <v>458.62</v>
      </c>
      <c r="O76" s="122">
        <v>14.3</v>
      </c>
      <c r="P76" s="122">
        <f>AJ76*1000*AN76/100</f>
        <v>4557.272727272727</v>
      </c>
      <c r="Q76" s="122">
        <f>N76*P76/1000</f>
        <v>2090.0564181818181</v>
      </c>
      <c r="R76" s="122">
        <f>P76*K76/1000</f>
        <v>146.15173636363636</v>
      </c>
      <c r="S76" s="122"/>
      <c r="T76" s="122">
        <f>$AJ76*1000*$AN76*0.01*$N76*0.001</f>
        <v>2090.0564181818181</v>
      </c>
      <c r="U76" s="122">
        <f>$AJ76*1000*$AN76*0.01*$K76*0.001</f>
        <v>146.15173636363636</v>
      </c>
      <c r="V76" s="123"/>
      <c r="W76" s="122"/>
      <c r="X76" s="122"/>
      <c r="Y76" s="122"/>
      <c r="Z76" s="122"/>
      <c r="AG76" s="124">
        <v>1.32</v>
      </c>
      <c r="AH76" s="1">
        <v>36</v>
      </c>
      <c r="AI76" s="1"/>
      <c r="AJ76" s="124">
        <f>IF(AH76/AG76&gt;0, AH76/AG76,"")</f>
        <v>27.27272727272727</v>
      </c>
      <c r="AK76" s="1" t="s">
        <v>2</v>
      </c>
      <c r="AL76" s="122"/>
      <c r="AM76" s="122"/>
      <c r="AN76" s="122">
        <v>16.71</v>
      </c>
      <c r="AO76" s="122" t="s">
        <v>1</v>
      </c>
      <c r="AP76" s="122" t="s">
        <v>1</v>
      </c>
      <c r="AQ76" s="122" t="s">
        <v>1</v>
      </c>
      <c r="AR76" s="122" t="s">
        <v>1</v>
      </c>
    </row>
    <row r="77" spans="1:44">
      <c r="A77" s="75">
        <v>76</v>
      </c>
      <c r="B77" s="116">
        <v>2004</v>
      </c>
      <c r="C77" s="117" t="s">
        <v>138</v>
      </c>
      <c r="D77" s="9" t="s">
        <v>108</v>
      </c>
      <c r="E77" s="9" t="s">
        <v>25</v>
      </c>
      <c r="F77" s="9" t="s">
        <v>35</v>
      </c>
      <c r="G77" s="9" t="s">
        <v>36</v>
      </c>
      <c r="H77" s="17">
        <v>38122</v>
      </c>
      <c r="I77" s="17"/>
      <c r="J77" s="18">
        <v>1</v>
      </c>
      <c r="K77" s="122"/>
      <c r="L77" s="122"/>
      <c r="M77" s="122"/>
      <c r="N77" s="122"/>
      <c r="O77" s="122"/>
      <c r="P77" s="122"/>
      <c r="Q77" s="122"/>
      <c r="R77" s="122"/>
      <c r="S77" s="122">
        <f>AJ77*AM77*AN77*0.01</f>
        <v>1.2613636363636362</v>
      </c>
      <c r="T77" s="122">
        <f>S77*0.4089</f>
        <v>0.51577159090909086</v>
      </c>
      <c r="U77" s="122">
        <f>S77*0.0263</f>
        <v>3.3173863636363633E-2</v>
      </c>
      <c r="V77" s="123"/>
      <c r="W77" s="122"/>
      <c r="X77" s="122"/>
      <c r="Y77" s="122"/>
      <c r="Z77" s="122"/>
      <c r="AG77" s="124">
        <v>1.32</v>
      </c>
      <c r="AH77" s="1">
        <v>3</v>
      </c>
      <c r="AI77" s="1"/>
      <c r="AJ77" s="124">
        <f>IF(AH77/AG77&gt;0, AH77/AG77,"")</f>
        <v>2.2727272727272725</v>
      </c>
      <c r="AK77" s="1" t="s">
        <v>67</v>
      </c>
      <c r="AL77" s="122"/>
      <c r="AM77" s="122">
        <v>1.5</v>
      </c>
      <c r="AN77" s="122">
        <v>37</v>
      </c>
      <c r="AO77" s="122"/>
      <c r="AP77" s="122"/>
      <c r="AQ77" s="122"/>
      <c r="AR77" s="122"/>
    </row>
    <row r="78" spans="1:44">
      <c r="A78" s="75">
        <v>77</v>
      </c>
      <c r="B78" s="116">
        <v>2004</v>
      </c>
      <c r="C78" s="117" t="s">
        <v>138</v>
      </c>
      <c r="D78" s="9" t="s">
        <v>108</v>
      </c>
      <c r="E78" s="9" t="s">
        <v>25</v>
      </c>
      <c r="F78" s="9" t="s">
        <v>29</v>
      </c>
      <c r="G78" s="9" t="s">
        <v>47</v>
      </c>
      <c r="H78" s="17">
        <v>38152</v>
      </c>
      <c r="I78" s="17">
        <v>38160</v>
      </c>
      <c r="J78" s="18">
        <v>2</v>
      </c>
      <c r="K78" s="122"/>
      <c r="L78" s="122"/>
      <c r="M78" s="122"/>
      <c r="N78" s="122"/>
      <c r="O78" s="122"/>
      <c r="P78" s="122"/>
      <c r="Q78" s="122"/>
      <c r="R78" s="122"/>
      <c r="S78" s="122">
        <f>$AJ78*100</f>
        <v>13888.8888888889</v>
      </c>
      <c r="T78" s="122">
        <f>$S78*0.4089</f>
        <v>5679.1666666666706</v>
      </c>
      <c r="U78" s="122">
        <f>$AJ78*100*0.0263</f>
        <v>365.27777777777806</v>
      </c>
      <c r="V78" s="123"/>
      <c r="W78" s="122"/>
      <c r="X78" s="122"/>
      <c r="Y78" s="122"/>
      <c r="Z78" s="122"/>
      <c r="AG78" s="124">
        <v>1.32</v>
      </c>
      <c r="AH78" s="1">
        <v>22</v>
      </c>
      <c r="AI78" s="1"/>
      <c r="AJ78" s="135">
        <v>138.888888888889</v>
      </c>
      <c r="AK78" s="136" t="s">
        <v>66</v>
      </c>
      <c r="AL78" s="122">
        <v>8</v>
      </c>
      <c r="AM78" s="122">
        <v>1.5</v>
      </c>
      <c r="AN78" s="122"/>
      <c r="AO78" s="122"/>
      <c r="AP78" s="122"/>
      <c r="AQ78" s="122"/>
      <c r="AR78" s="122"/>
    </row>
    <row r="79" spans="1:44">
      <c r="A79" s="75">
        <v>78</v>
      </c>
      <c r="B79" s="116">
        <v>2004</v>
      </c>
      <c r="C79" s="117" t="s">
        <v>138</v>
      </c>
      <c r="D79" s="9" t="s">
        <v>108</v>
      </c>
      <c r="E79" s="9" t="s">
        <v>25</v>
      </c>
      <c r="F79" s="9" t="s">
        <v>29</v>
      </c>
      <c r="G79" s="9" t="s">
        <v>44</v>
      </c>
      <c r="H79" s="17">
        <v>38181</v>
      </c>
      <c r="I79" s="17">
        <v>38187</v>
      </c>
      <c r="J79" s="18">
        <v>3</v>
      </c>
      <c r="K79" s="122"/>
      <c r="L79" s="122"/>
      <c r="M79" s="122"/>
      <c r="N79" s="122"/>
      <c r="O79" s="122"/>
      <c r="P79" s="122"/>
      <c r="Q79" s="122"/>
      <c r="R79" s="122"/>
      <c r="S79" s="122">
        <f>$AJ79*100</f>
        <v>509.12349299446066</v>
      </c>
      <c r="T79" s="122">
        <f>$S79*0.4089</f>
        <v>208.18059628543494</v>
      </c>
      <c r="U79" s="122">
        <f>$AJ79*100*0.0263</f>
        <v>13.389947865754316</v>
      </c>
      <c r="V79" s="123"/>
      <c r="W79" s="122"/>
      <c r="X79" s="122"/>
      <c r="Y79" s="122"/>
      <c r="Z79" s="122"/>
      <c r="AG79" s="124">
        <v>1.32</v>
      </c>
      <c r="AH79" s="1">
        <v>25</v>
      </c>
      <c r="AI79" s="1"/>
      <c r="AJ79" s="135">
        <v>5.0912349299446067</v>
      </c>
      <c r="AK79" s="136" t="s">
        <v>66</v>
      </c>
      <c r="AL79" s="122">
        <v>31</v>
      </c>
      <c r="AM79" s="122">
        <v>12</v>
      </c>
      <c r="AN79" s="122"/>
      <c r="AO79" s="122"/>
      <c r="AP79" s="122"/>
      <c r="AQ79" s="122"/>
      <c r="AR79" s="122"/>
    </row>
    <row r="80" spans="1:44">
      <c r="A80" s="75">
        <v>79</v>
      </c>
      <c r="B80" s="116">
        <v>2004</v>
      </c>
      <c r="C80" s="117" t="s">
        <v>138</v>
      </c>
      <c r="D80" s="9" t="s">
        <v>108</v>
      </c>
      <c r="E80" s="9" t="s">
        <v>25</v>
      </c>
      <c r="F80" s="9" t="s">
        <v>35</v>
      </c>
      <c r="G80" s="9" t="s">
        <v>36</v>
      </c>
      <c r="H80" s="17">
        <v>38196</v>
      </c>
      <c r="I80" s="17"/>
      <c r="J80" s="18">
        <v>3</v>
      </c>
      <c r="K80" s="122"/>
      <c r="L80" s="122"/>
      <c r="M80" s="122"/>
      <c r="N80" s="122"/>
      <c r="O80" s="122"/>
      <c r="P80" s="122"/>
      <c r="Q80" s="122"/>
      <c r="R80" s="122"/>
      <c r="S80" s="122">
        <f>AJ80*AM80*AN80*0.01</f>
        <v>1681.8181818181818</v>
      </c>
      <c r="T80" s="122">
        <f>S80*0.4089</f>
        <v>687.69545454545448</v>
      </c>
      <c r="U80" s="122">
        <f>S80*0.0263</f>
        <v>44.231818181818184</v>
      </c>
      <c r="V80" s="123"/>
      <c r="W80" s="122"/>
      <c r="X80" s="122"/>
      <c r="Y80" s="122"/>
      <c r="Z80" s="122"/>
      <c r="AG80" s="124">
        <v>1.32</v>
      </c>
      <c r="AH80" s="1">
        <v>2</v>
      </c>
      <c r="AI80" s="1"/>
      <c r="AJ80" s="124">
        <f>IF(AH80/AG80&gt;0, AH80/AG80,"")</f>
        <v>1.5151515151515151</v>
      </c>
      <c r="AK80" s="1" t="s">
        <v>67</v>
      </c>
      <c r="AL80" s="122"/>
      <c r="AM80" s="122">
        <v>3000</v>
      </c>
      <c r="AN80" s="122">
        <v>37</v>
      </c>
      <c r="AO80" s="122"/>
      <c r="AP80" s="122"/>
      <c r="AQ80" s="122"/>
      <c r="AR80" s="122"/>
    </row>
    <row r="81" spans="1:44">
      <c r="A81" s="75">
        <v>80</v>
      </c>
      <c r="B81" s="116">
        <v>2004</v>
      </c>
      <c r="C81" s="117" t="s">
        <v>138</v>
      </c>
      <c r="D81" s="9" t="s">
        <v>108</v>
      </c>
      <c r="E81" s="9" t="s">
        <v>25</v>
      </c>
      <c r="F81" s="9" t="s">
        <v>35</v>
      </c>
      <c r="G81" s="9" t="s">
        <v>36</v>
      </c>
      <c r="H81" s="17">
        <v>38232</v>
      </c>
      <c r="I81" s="17"/>
      <c r="J81" s="18">
        <v>4</v>
      </c>
      <c r="K81" s="122"/>
      <c r="L81" s="122"/>
      <c r="M81" s="122"/>
      <c r="N81" s="122"/>
      <c r="O81" s="122"/>
      <c r="P81" s="122"/>
      <c r="Q81" s="122"/>
      <c r="R81" s="122"/>
      <c r="S81" s="122">
        <f>AJ81*AM81*AN81*0.01</f>
        <v>2522.7272727272725</v>
      </c>
      <c r="T81" s="122">
        <f>S81*0.4089</f>
        <v>1031.5431818181817</v>
      </c>
      <c r="U81" s="122">
        <f>S81*0.0263</f>
        <v>66.347727272727269</v>
      </c>
      <c r="V81" s="123"/>
      <c r="W81" s="122"/>
      <c r="X81" s="122"/>
      <c r="Y81" s="122"/>
      <c r="Z81" s="122"/>
      <c r="AG81" s="124">
        <v>1.32</v>
      </c>
      <c r="AH81" s="1">
        <v>3</v>
      </c>
      <c r="AI81" s="1"/>
      <c r="AJ81" s="124">
        <f>IF(AH81/AG81&gt;0, AH81/AG81,"")</f>
        <v>2.2727272727272725</v>
      </c>
      <c r="AK81" s="1" t="s">
        <v>67</v>
      </c>
      <c r="AL81" s="122"/>
      <c r="AM81" s="122">
        <v>3000</v>
      </c>
      <c r="AN81" s="122">
        <v>37</v>
      </c>
      <c r="AO81" s="122"/>
      <c r="AP81" s="122"/>
      <c r="AQ81" s="122"/>
      <c r="AR81" s="122"/>
    </row>
    <row r="82" spans="1:44">
      <c r="A82" s="75">
        <v>81</v>
      </c>
      <c r="B82" s="116">
        <v>2004</v>
      </c>
      <c r="C82" s="117" t="s">
        <v>138</v>
      </c>
      <c r="D82" s="9" t="s">
        <v>108</v>
      </c>
      <c r="E82" s="9" t="s">
        <v>25</v>
      </c>
      <c r="F82" s="9" t="s">
        <v>35</v>
      </c>
      <c r="G82" s="9" t="s">
        <v>36</v>
      </c>
      <c r="H82" s="17">
        <v>38264</v>
      </c>
      <c r="I82" s="17">
        <v>38265</v>
      </c>
      <c r="J82" s="18">
        <v>5</v>
      </c>
      <c r="K82" s="122"/>
      <c r="L82" s="122"/>
      <c r="M82" s="122"/>
      <c r="N82" s="122"/>
      <c r="O82" s="122"/>
      <c r="P82" s="122"/>
      <c r="Q82" s="122"/>
      <c r="R82" s="122"/>
      <c r="S82" s="122">
        <f>AJ82*AM82*AN82*0.01</f>
        <v>517.15909090909076</v>
      </c>
      <c r="T82" s="122">
        <f>S82*0.4089</f>
        <v>211.46635227272719</v>
      </c>
      <c r="U82" s="122">
        <f>S82*0.0263</f>
        <v>13.601284090909088</v>
      </c>
      <c r="V82" s="123"/>
      <c r="W82" s="122"/>
      <c r="X82" s="122"/>
      <c r="Y82" s="122"/>
      <c r="Z82" s="122"/>
      <c r="AG82" s="124">
        <v>1.32</v>
      </c>
      <c r="AH82" s="1">
        <v>3</v>
      </c>
      <c r="AI82" s="1"/>
      <c r="AJ82" s="124">
        <f>IF(AH82/AG82&gt;0, AH82/AG82,"")</f>
        <v>2.2727272727272725</v>
      </c>
      <c r="AK82" s="137" t="s">
        <v>70</v>
      </c>
      <c r="AL82" s="122"/>
      <c r="AM82" s="122">
        <v>615</v>
      </c>
      <c r="AN82" s="122">
        <v>37</v>
      </c>
      <c r="AO82" s="122"/>
      <c r="AP82" s="122"/>
      <c r="AQ82" s="122"/>
      <c r="AR82" s="122"/>
    </row>
    <row r="83" spans="1:44">
      <c r="A83" s="75">
        <v>82</v>
      </c>
      <c r="B83" s="116">
        <v>2004</v>
      </c>
      <c r="C83" s="117" t="s">
        <v>138</v>
      </c>
      <c r="D83" s="9" t="s">
        <v>108</v>
      </c>
      <c r="E83" s="9" t="s">
        <v>17</v>
      </c>
      <c r="F83" s="9" t="s">
        <v>37</v>
      </c>
      <c r="G83" s="9" t="s">
        <v>48</v>
      </c>
      <c r="H83" s="17">
        <v>38273</v>
      </c>
      <c r="I83" s="17"/>
      <c r="J83" s="18"/>
      <c r="K83" s="122">
        <v>53.075000000000003</v>
      </c>
      <c r="L83" s="122">
        <v>23.815000000000001</v>
      </c>
      <c r="M83" s="125">
        <v>0.5</v>
      </c>
      <c r="N83" s="122">
        <v>442.38499999999999</v>
      </c>
      <c r="O83" s="122">
        <v>9.36</v>
      </c>
      <c r="P83" s="122">
        <f>AJ83*1000*AN83/100</f>
        <v>1320.6666666666665</v>
      </c>
      <c r="Q83" s="122">
        <f>N83*P83/1000</f>
        <v>584.2431233333333</v>
      </c>
      <c r="R83" s="122">
        <f>K83*P83/1000</f>
        <v>70.094383333333326</v>
      </c>
      <c r="S83" s="122"/>
      <c r="T83" s="122">
        <f>$AJ83*1000*$AN83*0.01*$N83*0.001</f>
        <v>584.2431233333333</v>
      </c>
      <c r="U83" s="122">
        <f>$AJ83*1000*$AN83*0.01*$K83*0.001</f>
        <v>70.094383333333326</v>
      </c>
      <c r="V83" s="123"/>
      <c r="W83" s="122"/>
      <c r="X83" s="122"/>
      <c r="Y83" s="122"/>
      <c r="Z83" s="122"/>
      <c r="AG83" s="124">
        <v>1.32</v>
      </c>
      <c r="AH83" s="1">
        <v>56.6</v>
      </c>
      <c r="AI83" s="1"/>
      <c r="AJ83" s="124">
        <f>IF(AH83/AG83&gt;0, AH83/AG83,"")</f>
        <v>42.878787878787875</v>
      </c>
      <c r="AK83" s="1" t="s">
        <v>5</v>
      </c>
      <c r="AL83" s="122"/>
      <c r="AM83" s="122"/>
      <c r="AN83" s="122">
        <v>3.08</v>
      </c>
      <c r="AO83" s="122">
        <v>30</v>
      </c>
      <c r="AP83" s="122">
        <v>26</v>
      </c>
      <c r="AQ83" s="122">
        <v>111</v>
      </c>
      <c r="AR83" s="122">
        <v>4</v>
      </c>
    </row>
    <row r="84" spans="1:44">
      <c r="A84" s="75">
        <v>83</v>
      </c>
      <c r="B84" s="116">
        <v>2004</v>
      </c>
      <c r="C84" s="117" t="s">
        <v>138</v>
      </c>
      <c r="D84" s="9" t="s">
        <v>108</v>
      </c>
      <c r="E84" s="9" t="s">
        <v>17</v>
      </c>
      <c r="F84" s="9" t="s">
        <v>37</v>
      </c>
      <c r="G84" s="9" t="s">
        <v>48</v>
      </c>
      <c r="H84" s="17">
        <v>38299</v>
      </c>
      <c r="I84" s="17"/>
      <c r="J84" s="18"/>
      <c r="K84" s="122">
        <v>53.075000000000003</v>
      </c>
      <c r="L84" s="122">
        <v>23.815000000000001</v>
      </c>
      <c r="M84" s="125">
        <v>0.5</v>
      </c>
      <c r="N84" s="122">
        <v>442.38499999999999</v>
      </c>
      <c r="O84" s="122">
        <v>9.36</v>
      </c>
      <c r="P84" s="122">
        <f>AJ84*1000*AN84/100</f>
        <v>1031.3333333333335</v>
      </c>
      <c r="Q84" s="122">
        <f>N84*P84/1000</f>
        <v>456.24639666666673</v>
      </c>
      <c r="R84" s="122">
        <f>K84*P84/1000</f>
        <v>54.738016666666674</v>
      </c>
      <c r="S84" s="122"/>
      <c r="T84" s="122">
        <f>$AJ84*1000*$AN84*0.01*$N84*0.001</f>
        <v>456.24639666666673</v>
      </c>
      <c r="U84" s="122">
        <f>$AJ84*1000*$AN84*0.01*$K84*0.001</f>
        <v>54.738016666666681</v>
      </c>
      <c r="V84" s="123"/>
      <c r="W84" s="122"/>
      <c r="X84" s="122"/>
      <c r="Y84" s="122"/>
      <c r="Z84" s="122"/>
      <c r="AG84" s="124">
        <v>1.32</v>
      </c>
      <c r="AH84" s="1">
        <v>44.2</v>
      </c>
      <c r="AI84" s="1"/>
      <c r="AJ84" s="124">
        <f>IF(AH84/AG84&gt;0, AH84/AG84,"")</f>
        <v>33.484848484848484</v>
      </c>
      <c r="AK84" s="1" t="s">
        <v>5</v>
      </c>
      <c r="AL84" s="122"/>
      <c r="AM84" s="122"/>
      <c r="AN84" s="122">
        <v>3.08</v>
      </c>
      <c r="AO84" s="122">
        <v>23</v>
      </c>
      <c r="AP84" s="122">
        <v>20</v>
      </c>
      <c r="AQ84" s="122">
        <v>87</v>
      </c>
      <c r="AR84" s="122">
        <v>3</v>
      </c>
    </row>
    <row r="85" spans="1:44">
      <c r="A85" s="75">
        <v>84</v>
      </c>
      <c r="B85" s="116">
        <v>2004</v>
      </c>
      <c r="C85" s="117" t="s">
        <v>138</v>
      </c>
      <c r="D85" s="9" t="s">
        <v>108</v>
      </c>
      <c r="E85" s="9" t="s">
        <v>25</v>
      </c>
      <c r="F85" s="9" t="s">
        <v>29</v>
      </c>
      <c r="G85" s="9" t="s">
        <v>47</v>
      </c>
      <c r="H85" s="17">
        <v>38306</v>
      </c>
      <c r="I85" s="17">
        <v>38336</v>
      </c>
      <c r="J85" s="18">
        <v>6</v>
      </c>
      <c r="K85" s="122"/>
      <c r="L85" s="122"/>
      <c r="M85" s="122"/>
      <c r="N85" s="122"/>
      <c r="O85" s="122"/>
      <c r="P85" s="122"/>
      <c r="Q85" s="122"/>
      <c r="R85" s="122"/>
      <c r="S85" s="122">
        <f>AJ85*AM85*AL85</f>
        <v>2727.272727272727</v>
      </c>
      <c r="T85" s="122">
        <f>$S85*0.4089</f>
        <v>1115.181818181818</v>
      </c>
      <c r="U85" s="122">
        <f>$S85*0.0263</f>
        <v>71.72727272727272</v>
      </c>
      <c r="V85" s="123"/>
      <c r="W85" s="122"/>
      <c r="X85" s="122"/>
      <c r="Y85" s="122"/>
      <c r="Z85" s="122"/>
      <c r="AG85" s="124">
        <v>1.32</v>
      </c>
      <c r="AH85" s="124">
        <v>80</v>
      </c>
      <c r="AI85" s="124"/>
      <c r="AJ85" s="124">
        <f>AH85/AG85</f>
        <v>60.606060606060602</v>
      </c>
      <c r="AK85" s="1" t="s">
        <v>66</v>
      </c>
      <c r="AL85" s="122">
        <v>30</v>
      </c>
      <c r="AM85" s="122">
        <v>1.5</v>
      </c>
      <c r="AN85" s="122"/>
      <c r="AO85" s="122"/>
      <c r="AP85" s="122"/>
      <c r="AQ85" s="122"/>
      <c r="AR85" s="122"/>
    </row>
    <row r="86" spans="1:44">
      <c r="A86" s="75">
        <v>85</v>
      </c>
      <c r="B86" s="116">
        <v>2004</v>
      </c>
      <c r="C86" s="118" t="s">
        <v>139</v>
      </c>
      <c r="D86" s="9" t="s">
        <v>108</v>
      </c>
      <c r="E86" s="9" t="s">
        <v>17</v>
      </c>
      <c r="F86" s="9" t="s">
        <v>37</v>
      </c>
      <c r="G86" s="9" t="s">
        <v>46</v>
      </c>
      <c r="H86" s="17">
        <v>38037</v>
      </c>
      <c r="I86" s="17"/>
      <c r="J86" s="18"/>
      <c r="K86" s="122">
        <v>32.07</v>
      </c>
      <c r="L86" s="122">
        <v>3.6</v>
      </c>
      <c r="M86" s="125">
        <v>0.5</v>
      </c>
      <c r="N86" s="122">
        <v>458.62</v>
      </c>
      <c r="O86" s="122">
        <v>14.3</v>
      </c>
      <c r="P86" s="122">
        <f>AJ86*1000*AN86/100</f>
        <v>2801.6766467065872</v>
      </c>
      <c r="Q86" s="122">
        <f>N86*P86/1000</f>
        <v>1284.9049437125752</v>
      </c>
      <c r="R86" s="122">
        <f>P86*K86/1000</f>
        <v>89.849770059880242</v>
      </c>
      <c r="S86" s="122"/>
      <c r="T86" s="122">
        <f>$AJ86*1000*$AN86*0.01*$N86*0.001</f>
        <v>1284.9049437125752</v>
      </c>
      <c r="U86" s="122">
        <f>$AJ86*1000*$AN86*0.01*$K86*0.001</f>
        <v>89.849770059880242</v>
      </c>
      <c r="V86" s="123"/>
      <c r="W86" s="122"/>
      <c r="X86" s="122"/>
      <c r="Y86" s="122"/>
      <c r="Z86" s="122"/>
      <c r="AG86" s="124">
        <v>3.34</v>
      </c>
      <c r="AH86" s="1">
        <v>56</v>
      </c>
      <c r="AI86" s="1"/>
      <c r="AJ86" s="124">
        <f>IF(AH86/AG86&gt;0, AH86/AG86,"")</f>
        <v>16.766467065868262</v>
      </c>
      <c r="AK86" s="1" t="s">
        <v>2</v>
      </c>
      <c r="AL86" s="122"/>
      <c r="AM86" s="122"/>
      <c r="AN86" s="122">
        <v>16.71</v>
      </c>
      <c r="AO86" s="122">
        <v>25.149700598802397</v>
      </c>
      <c r="AP86" s="122">
        <v>36.886227544910184</v>
      </c>
      <c r="AQ86" s="122">
        <v>181.07784431137728</v>
      </c>
      <c r="AR86" s="122">
        <v>15.089820359281438</v>
      </c>
    </row>
    <row r="87" spans="1:44">
      <c r="A87" s="75">
        <v>86</v>
      </c>
      <c r="B87" s="116">
        <v>2004</v>
      </c>
      <c r="C87" s="118" t="s">
        <v>139</v>
      </c>
      <c r="D87" s="9" t="s">
        <v>108</v>
      </c>
      <c r="E87" s="9" t="s">
        <v>26</v>
      </c>
      <c r="F87" s="9" t="s">
        <v>30</v>
      </c>
      <c r="G87" s="4" t="s">
        <v>127</v>
      </c>
      <c r="H87" s="17">
        <v>38074</v>
      </c>
      <c r="I87" s="17"/>
      <c r="J87" s="18"/>
      <c r="K87" s="122"/>
      <c r="L87" s="122"/>
      <c r="M87" s="122"/>
      <c r="N87" s="122"/>
      <c r="O87" s="122"/>
      <c r="P87" s="122"/>
      <c r="Q87" s="122"/>
      <c r="R87" s="122"/>
      <c r="S87" s="122"/>
      <c r="T87" s="122"/>
      <c r="U87" s="122"/>
      <c r="V87" s="123"/>
      <c r="W87" s="122"/>
      <c r="X87" s="122"/>
      <c r="Y87" s="122"/>
      <c r="Z87" s="122"/>
      <c r="AG87" s="124">
        <v>3.34</v>
      </c>
      <c r="AH87" s="1"/>
      <c r="AI87" s="1"/>
      <c r="AJ87" s="122"/>
      <c r="AL87" s="122"/>
      <c r="AM87" s="122"/>
      <c r="AN87" s="122"/>
      <c r="AO87" s="122"/>
      <c r="AP87" s="122"/>
      <c r="AQ87" s="122"/>
      <c r="AR87" s="122"/>
    </row>
    <row r="88" spans="1:44">
      <c r="A88" s="75">
        <v>87</v>
      </c>
      <c r="B88" s="116">
        <v>2004</v>
      </c>
      <c r="C88" s="118" t="s">
        <v>139</v>
      </c>
      <c r="D88" s="9" t="s">
        <v>108</v>
      </c>
      <c r="E88" s="9" t="s">
        <v>26</v>
      </c>
      <c r="F88" s="9" t="s">
        <v>42</v>
      </c>
      <c r="G88" s="9"/>
      <c r="H88" s="17">
        <v>38075</v>
      </c>
      <c r="I88" s="17"/>
      <c r="J88" s="18"/>
      <c r="K88" s="122"/>
      <c r="L88" s="122"/>
      <c r="M88" s="122"/>
      <c r="N88" s="122"/>
      <c r="O88" s="122"/>
      <c r="P88" s="122"/>
      <c r="Q88" s="122"/>
      <c r="R88" s="122"/>
      <c r="S88" s="122"/>
      <c r="T88" s="122"/>
      <c r="U88" s="122"/>
      <c r="V88" s="123"/>
      <c r="W88" s="122"/>
      <c r="X88" s="122"/>
      <c r="Y88" s="122"/>
      <c r="Z88" s="122"/>
      <c r="AG88" s="124">
        <v>3.34</v>
      </c>
      <c r="AH88" s="1"/>
      <c r="AI88" s="1"/>
      <c r="AJ88" s="124"/>
      <c r="AL88" s="122"/>
      <c r="AM88" s="122"/>
      <c r="AN88" s="122"/>
      <c r="AO88" s="122"/>
      <c r="AP88" s="122"/>
      <c r="AQ88" s="122"/>
      <c r="AR88" s="122"/>
    </row>
    <row r="89" spans="1:44">
      <c r="A89" s="75">
        <v>88</v>
      </c>
      <c r="B89" s="116">
        <v>2004</v>
      </c>
      <c r="C89" s="118" t="s">
        <v>139</v>
      </c>
      <c r="D89" s="9" t="s">
        <v>108</v>
      </c>
      <c r="E89" s="9" t="s">
        <v>23</v>
      </c>
      <c r="F89" s="9" t="s">
        <v>38</v>
      </c>
      <c r="G89" s="9" t="s">
        <v>50</v>
      </c>
      <c r="H89" s="17">
        <v>38075</v>
      </c>
      <c r="I89" s="17"/>
      <c r="J89" s="18"/>
      <c r="K89" s="122"/>
      <c r="L89" s="122"/>
      <c r="M89" s="122"/>
      <c r="N89" s="122"/>
      <c r="O89" s="122"/>
      <c r="P89" s="122"/>
      <c r="Q89" s="122"/>
      <c r="R89" s="122"/>
      <c r="S89" s="122"/>
      <c r="T89" s="122"/>
      <c r="U89" s="122"/>
      <c r="V89" s="123"/>
      <c r="W89" s="122"/>
      <c r="X89" s="122"/>
      <c r="Y89" s="122"/>
      <c r="Z89" s="122"/>
      <c r="AG89" s="124">
        <v>3.34</v>
      </c>
      <c r="AH89" s="1">
        <v>70</v>
      </c>
      <c r="AI89" s="1"/>
      <c r="AJ89" s="124">
        <f t="shared" ref="AJ89:AJ99" si="2">IF(AH89/AG89&gt;0, AH89/AG89,"")</f>
        <v>20.95808383233533</v>
      </c>
      <c r="AK89" s="1" t="s">
        <v>3</v>
      </c>
      <c r="AL89" s="122"/>
      <c r="AM89" s="122"/>
      <c r="AN89" s="122"/>
      <c r="AO89" s="122"/>
      <c r="AP89" s="122"/>
      <c r="AQ89" s="122"/>
      <c r="AR89" s="122"/>
    </row>
    <row r="90" spans="1:44">
      <c r="A90" s="75">
        <v>89</v>
      </c>
      <c r="B90" s="116">
        <v>2004</v>
      </c>
      <c r="C90" s="118" t="s">
        <v>139</v>
      </c>
      <c r="D90" s="9" t="s">
        <v>108</v>
      </c>
      <c r="E90" s="9" t="s">
        <v>25</v>
      </c>
      <c r="F90" s="9" t="s">
        <v>35</v>
      </c>
      <c r="G90" s="9" t="s">
        <v>36</v>
      </c>
      <c r="H90" s="17">
        <v>38122</v>
      </c>
      <c r="I90" s="17"/>
      <c r="J90" s="18">
        <v>1</v>
      </c>
      <c r="K90" s="122"/>
      <c r="L90" s="122"/>
      <c r="M90" s="122"/>
      <c r="N90" s="122"/>
      <c r="O90" s="122"/>
      <c r="P90" s="122"/>
      <c r="Q90" s="122"/>
      <c r="R90" s="122"/>
      <c r="S90" s="122">
        <f>AJ90*AM90*AN90*0.01</f>
        <v>2658.6826347305391</v>
      </c>
      <c r="T90" s="122">
        <f>$S90*0.4089</f>
        <v>1087.1353293413174</v>
      </c>
      <c r="U90" s="122">
        <f>$S90*0.0263</f>
        <v>69.923353293413186</v>
      </c>
      <c r="V90" s="123"/>
      <c r="W90" s="122"/>
      <c r="X90" s="122"/>
      <c r="Y90" s="122"/>
      <c r="Z90" s="122"/>
      <c r="AG90" s="124">
        <v>3.34</v>
      </c>
      <c r="AH90" s="1">
        <v>8</v>
      </c>
      <c r="AI90" s="1"/>
      <c r="AJ90" s="124">
        <f t="shared" si="2"/>
        <v>2.3952095808383236</v>
      </c>
      <c r="AK90" s="1" t="s">
        <v>67</v>
      </c>
      <c r="AL90" s="122"/>
      <c r="AM90" s="122">
        <v>3000</v>
      </c>
      <c r="AN90" s="122">
        <v>37</v>
      </c>
      <c r="AO90" s="122"/>
      <c r="AP90" s="122"/>
      <c r="AQ90" s="122"/>
      <c r="AR90" s="122"/>
    </row>
    <row r="91" spans="1:44">
      <c r="A91" s="75">
        <v>90</v>
      </c>
      <c r="B91" s="116">
        <v>2004</v>
      </c>
      <c r="C91" s="118" t="s">
        <v>139</v>
      </c>
      <c r="D91" s="9" t="s">
        <v>108</v>
      </c>
      <c r="E91" s="9" t="s">
        <v>17</v>
      </c>
      <c r="F91" s="9" t="s">
        <v>37</v>
      </c>
      <c r="G91" s="9" t="s">
        <v>48</v>
      </c>
      <c r="H91" s="17">
        <v>38125</v>
      </c>
      <c r="I91" s="17"/>
      <c r="J91" s="18"/>
      <c r="K91" s="122">
        <v>53.075000000000003</v>
      </c>
      <c r="L91" s="122">
        <v>23.815000000000001</v>
      </c>
      <c r="M91" s="125">
        <v>0.5</v>
      </c>
      <c r="N91" s="122">
        <v>442.38499999999999</v>
      </c>
      <c r="O91" s="122">
        <v>9.36</v>
      </c>
      <c r="P91" s="122">
        <f>AJ91*1000*AN91/100</f>
        <v>1475.4491017964071</v>
      </c>
      <c r="Q91" s="122">
        <f>N91*P91/1000</f>
        <v>652.71655089820354</v>
      </c>
      <c r="R91" s="122">
        <f>K91*P91/1000</f>
        <v>78.309461077844318</v>
      </c>
      <c r="S91" s="122"/>
      <c r="T91" s="122">
        <f>$AJ91*1000*$AN91*0.01*$N91*0.001</f>
        <v>652.71655089820354</v>
      </c>
      <c r="U91" s="122">
        <f>$AJ91*1000*$AN91*0.01*$K91*0.001</f>
        <v>78.309461077844318</v>
      </c>
      <c r="V91" s="123"/>
      <c r="W91" s="122"/>
      <c r="X91" s="122"/>
      <c r="Y91" s="122"/>
      <c r="Z91" s="122"/>
      <c r="AG91" s="124">
        <v>3.34</v>
      </c>
      <c r="AH91" s="1">
        <v>160</v>
      </c>
      <c r="AI91" s="1"/>
      <c r="AJ91" s="124">
        <f t="shared" si="2"/>
        <v>47.904191616766468</v>
      </c>
      <c r="AK91" s="1" t="s">
        <v>5</v>
      </c>
      <c r="AL91" s="122"/>
      <c r="AM91" s="122"/>
      <c r="AN91" s="122">
        <v>3.08</v>
      </c>
      <c r="AO91" s="122">
        <v>33.532934131736532</v>
      </c>
      <c r="AP91" s="122">
        <v>28.742514970059883</v>
      </c>
      <c r="AQ91" s="122">
        <v>124.55089820359282</v>
      </c>
      <c r="AR91" s="122">
        <v>4.7904191616766472</v>
      </c>
    </row>
    <row r="92" spans="1:44">
      <c r="A92" s="75">
        <v>91</v>
      </c>
      <c r="B92" s="116">
        <v>2004</v>
      </c>
      <c r="C92" s="118" t="s">
        <v>139</v>
      </c>
      <c r="D92" s="9" t="s">
        <v>108</v>
      </c>
      <c r="E92" s="9" t="s">
        <v>25</v>
      </c>
      <c r="F92" s="9" t="s">
        <v>35</v>
      </c>
      <c r="G92" s="9" t="s">
        <v>36</v>
      </c>
      <c r="H92" s="17">
        <v>38167</v>
      </c>
      <c r="I92" s="17">
        <v>38168</v>
      </c>
      <c r="J92" s="18">
        <v>2</v>
      </c>
      <c r="K92" s="122"/>
      <c r="L92" s="122"/>
      <c r="M92" s="122"/>
      <c r="N92" s="122"/>
      <c r="O92" s="122"/>
      <c r="P92" s="122"/>
      <c r="Q92" s="122"/>
      <c r="R92" s="122"/>
      <c r="S92" s="122">
        <f>AJ92*AM92*AN92*0.01</f>
        <v>2243.2634730538925</v>
      </c>
      <c r="T92" s="122">
        <f>$S92*0.4089</f>
        <v>917.27043413173658</v>
      </c>
      <c r="U92" s="122">
        <f>$S92*0.0263</f>
        <v>58.997829341317377</v>
      </c>
      <c r="V92" s="123"/>
      <c r="W92" s="122"/>
      <c r="X92" s="122"/>
      <c r="Y92" s="122"/>
      <c r="Z92" s="122"/>
      <c r="AG92" s="124">
        <v>3.34</v>
      </c>
      <c r="AH92" s="1">
        <v>6.75</v>
      </c>
      <c r="AI92" s="1"/>
      <c r="AJ92" s="124">
        <f t="shared" si="2"/>
        <v>2.0209580838323356</v>
      </c>
      <c r="AK92" s="1" t="s">
        <v>67</v>
      </c>
      <c r="AL92" s="122"/>
      <c r="AM92" s="122">
        <v>3000</v>
      </c>
      <c r="AN92" s="122">
        <v>37</v>
      </c>
      <c r="AO92" s="122"/>
      <c r="AP92" s="122"/>
      <c r="AQ92" s="122"/>
      <c r="AR92" s="122"/>
    </row>
    <row r="93" spans="1:44">
      <c r="A93" s="75">
        <v>92</v>
      </c>
      <c r="B93" s="116">
        <v>2004</v>
      </c>
      <c r="C93" s="118" t="s">
        <v>139</v>
      </c>
      <c r="D93" s="9" t="s">
        <v>108</v>
      </c>
      <c r="E93" s="9" t="s">
        <v>17</v>
      </c>
      <c r="F93" s="9" t="s">
        <v>37</v>
      </c>
      <c r="G93" s="9" t="s">
        <v>48</v>
      </c>
      <c r="H93" s="17">
        <v>38174</v>
      </c>
      <c r="I93" s="17"/>
      <c r="J93" s="18"/>
      <c r="K93" s="122">
        <v>53.075000000000003</v>
      </c>
      <c r="L93" s="122">
        <v>23.815000000000001</v>
      </c>
      <c r="M93" s="125">
        <v>0.5</v>
      </c>
      <c r="N93" s="122">
        <v>442.38499999999999</v>
      </c>
      <c r="O93" s="122">
        <v>9.36</v>
      </c>
      <c r="P93" s="122">
        <f>AJ93*1000*AN93/100</f>
        <v>1254.1317365269463</v>
      </c>
      <c r="Q93" s="122">
        <f>N93*P93/1000</f>
        <v>554.80906826347314</v>
      </c>
      <c r="R93" s="122">
        <f>K93*P93/1000</f>
        <v>66.563041916167677</v>
      </c>
      <c r="S93" s="122"/>
      <c r="T93" s="122">
        <f>$AJ93*1000*$AN93*0.01*$N93*0.001</f>
        <v>554.80906826347314</v>
      </c>
      <c r="U93" s="122">
        <f>$AJ93*1000*$AN93*0.01*$K93*0.001</f>
        <v>66.563041916167691</v>
      </c>
      <c r="V93" s="123"/>
      <c r="W93" s="122"/>
      <c r="X93" s="122"/>
      <c r="Y93" s="122"/>
      <c r="Z93" s="122"/>
      <c r="AG93" s="124">
        <v>3.34</v>
      </c>
      <c r="AH93" s="1">
        <v>136</v>
      </c>
      <c r="AI93" s="1"/>
      <c r="AJ93" s="124">
        <f t="shared" si="2"/>
        <v>40.718562874251496</v>
      </c>
      <c r="AK93" s="1" t="s">
        <v>5</v>
      </c>
      <c r="AL93" s="122"/>
      <c r="AM93" s="122"/>
      <c r="AN93" s="122">
        <v>3.08</v>
      </c>
      <c r="AO93" s="122">
        <v>28.502994011976046</v>
      </c>
      <c r="AP93" s="122">
        <v>24.431137724550897</v>
      </c>
      <c r="AQ93" s="122">
        <v>105.8682634730539</v>
      </c>
      <c r="AR93" s="122">
        <v>4.0718562874251507</v>
      </c>
    </row>
    <row r="94" spans="1:44">
      <c r="A94" s="75">
        <v>93</v>
      </c>
      <c r="B94" s="116">
        <v>2004</v>
      </c>
      <c r="C94" s="118" t="s">
        <v>139</v>
      </c>
      <c r="D94" s="9" t="s">
        <v>108</v>
      </c>
      <c r="E94" s="9" t="s">
        <v>25</v>
      </c>
      <c r="F94" s="9" t="s">
        <v>35</v>
      </c>
      <c r="G94" s="9" t="s">
        <v>36</v>
      </c>
      <c r="H94" s="17">
        <v>38196</v>
      </c>
      <c r="I94" s="17"/>
      <c r="J94" s="18">
        <v>3</v>
      </c>
      <c r="K94" s="122"/>
      <c r="L94" s="122"/>
      <c r="M94" s="122"/>
      <c r="N94" s="122"/>
      <c r="O94" s="122"/>
      <c r="P94" s="122"/>
      <c r="Q94" s="122"/>
      <c r="R94" s="122"/>
      <c r="S94" s="122">
        <f>AJ94*AM94*AN94*0.01</f>
        <v>997.00598802395223</v>
      </c>
      <c r="T94" s="122">
        <f>$S94*0.4089</f>
        <v>407.67574850299405</v>
      </c>
      <c r="U94" s="122">
        <f>$S94*0.0263</f>
        <v>26.221257485029945</v>
      </c>
      <c r="V94" s="123"/>
      <c r="W94" s="122"/>
      <c r="X94" s="122"/>
      <c r="Y94" s="122"/>
      <c r="Z94" s="122"/>
      <c r="AG94" s="124">
        <v>3.34</v>
      </c>
      <c r="AH94" s="1">
        <v>3</v>
      </c>
      <c r="AI94" s="1"/>
      <c r="AJ94" s="124">
        <f t="shared" si="2"/>
        <v>0.89820359281437134</v>
      </c>
      <c r="AK94" s="1" t="s">
        <v>67</v>
      </c>
      <c r="AL94" s="122"/>
      <c r="AM94" s="122">
        <v>3000</v>
      </c>
      <c r="AN94" s="122">
        <v>37</v>
      </c>
      <c r="AO94" s="122"/>
      <c r="AP94" s="122"/>
      <c r="AQ94" s="122"/>
      <c r="AR94" s="122"/>
    </row>
    <row r="95" spans="1:44">
      <c r="A95" s="75">
        <v>94</v>
      </c>
      <c r="B95" s="116">
        <v>2004</v>
      </c>
      <c r="C95" s="118" t="s">
        <v>139</v>
      </c>
      <c r="D95" s="9" t="s">
        <v>108</v>
      </c>
      <c r="E95" s="9" t="s">
        <v>17</v>
      </c>
      <c r="F95" s="9" t="s">
        <v>37</v>
      </c>
      <c r="G95" s="9" t="s">
        <v>48</v>
      </c>
      <c r="H95" s="17">
        <v>38203</v>
      </c>
      <c r="I95" s="17"/>
      <c r="J95" s="18"/>
      <c r="K95" s="122">
        <v>53.075000000000003</v>
      </c>
      <c r="L95" s="122">
        <v>23.815000000000001</v>
      </c>
      <c r="M95" s="125">
        <v>0.5</v>
      </c>
      <c r="N95" s="122">
        <v>442.38499999999999</v>
      </c>
      <c r="O95" s="122">
        <v>9.36</v>
      </c>
      <c r="P95" s="122">
        <f>AJ95*1000*AN95/100</f>
        <v>1318.6826347305389</v>
      </c>
      <c r="Q95" s="122">
        <f>N95*P95/1000</f>
        <v>583.36541736526942</v>
      </c>
      <c r="R95" s="122">
        <f>K95*P95/1000</f>
        <v>69.989080838323346</v>
      </c>
      <c r="S95" s="122"/>
      <c r="T95" s="122">
        <f>$AJ95*1000*$AN95*0.01*$N95*0.001</f>
        <v>583.36541736526954</v>
      </c>
      <c r="U95" s="122">
        <f>$AJ95*1000*$AN95*0.01*$K95*0.001</f>
        <v>69.989080838323375</v>
      </c>
      <c r="V95" s="123"/>
      <c r="W95" s="122"/>
      <c r="X95" s="122"/>
      <c r="Y95" s="122"/>
      <c r="Z95" s="122"/>
      <c r="AG95" s="124">
        <v>3.34</v>
      </c>
      <c r="AH95" s="1">
        <v>143</v>
      </c>
      <c r="AI95" s="1"/>
      <c r="AJ95" s="124">
        <f t="shared" si="2"/>
        <v>42.814371257485028</v>
      </c>
      <c r="AK95" s="1" t="s">
        <v>5</v>
      </c>
      <c r="AL95" s="122"/>
      <c r="AM95" s="122"/>
      <c r="AN95" s="122">
        <v>3.08</v>
      </c>
      <c r="AO95" s="122">
        <v>29.970059880239521</v>
      </c>
      <c r="AP95" s="122">
        <v>25.688622754491018</v>
      </c>
      <c r="AQ95" s="122">
        <v>111.31736526946109</v>
      </c>
      <c r="AR95" s="122">
        <v>4.2814371257485035</v>
      </c>
    </row>
    <row r="96" spans="1:44">
      <c r="A96" s="75">
        <v>95</v>
      </c>
      <c r="B96" s="116">
        <v>2004</v>
      </c>
      <c r="C96" s="118" t="s">
        <v>139</v>
      </c>
      <c r="D96" s="9" t="s">
        <v>108</v>
      </c>
      <c r="E96" s="9" t="s">
        <v>25</v>
      </c>
      <c r="F96" s="9" t="s">
        <v>35</v>
      </c>
      <c r="G96" s="9" t="s">
        <v>36</v>
      </c>
      <c r="H96" s="17">
        <v>38232</v>
      </c>
      <c r="I96" s="17"/>
      <c r="J96" s="18">
        <v>4</v>
      </c>
      <c r="K96" s="122"/>
      <c r="L96" s="122"/>
      <c r="M96" s="122"/>
      <c r="N96" s="122"/>
      <c r="O96" s="122"/>
      <c r="P96" s="122"/>
      <c r="Q96" s="122"/>
      <c r="R96" s="122"/>
      <c r="S96" s="122">
        <f>AJ96*AM96*AN96*0.01</f>
        <v>1329.3413173652696</v>
      </c>
      <c r="T96" s="122">
        <f>$S96*0.4089</f>
        <v>543.5676646706587</v>
      </c>
      <c r="U96" s="122">
        <f>$S96*0.0263</f>
        <v>34.961676646706593</v>
      </c>
      <c r="V96" s="123"/>
      <c r="W96" s="122"/>
      <c r="X96" s="122"/>
      <c r="Y96" s="122"/>
      <c r="Z96" s="122"/>
      <c r="AG96" s="124">
        <v>3.34</v>
      </c>
      <c r="AH96" s="1">
        <v>4</v>
      </c>
      <c r="AI96" s="1"/>
      <c r="AJ96" s="124">
        <f t="shared" si="2"/>
        <v>1.1976047904191618</v>
      </c>
      <c r="AK96" s="1" t="s">
        <v>67</v>
      </c>
      <c r="AL96" s="122"/>
      <c r="AM96" s="122">
        <v>3000</v>
      </c>
      <c r="AN96" s="122">
        <v>37</v>
      </c>
      <c r="AO96" s="122"/>
      <c r="AP96" s="122"/>
      <c r="AQ96" s="122"/>
      <c r="AR96" s="122"/>
    </row>
    <row r="97" spans="1:44">
      <c r="A97" s="75">
        <v>96</v>
      </c>
      <c r="B97" s="116">
        <v>2004</v>
      </c>
      <c r="C97" s="118" t="s">
        <v>139</v>
      </c>
      <c r="D97" s="9" t="s">
        <v>108</v>
      </c>
      <c r="E97" s="9" t="s">
        <v>25</v>
      </c>
      <c r="F97" s="9" t="s">
        <v>35</v>
      </c>
      <c r="G97" s="9" t="s">
        <v>36</v>
      </c>
      <c r="H97" s="17">
        <v>38264</v>
      </c>
      <c r="I97" s="17">
        <v>38265</v>
      </c>
      <c r="J97" s="18">
        <v>5</v>
      </c>
      <c r="K97" s="122"/>
      <c r="L97" s="122"/>
      <c r="M97" s="122"/>
      <c r="N97" s="122"/>
      <c r="O97" s="122"/>
      <c r="P97" s="122"/>
      <c r="Q97" s="122"/>
      <c r="R97" s="122"/>
      <c r="S97" s="122">
        <f>AJ97*AM97*AN97*0.01</f>
        <v>455.1</v>
      </c>
      <c r="T97" s="122">
        <f>$S97*0.4089</f>
        <v>186.09039000000001</v>
      </c>
      <c r="U97" s="122">
        <f>$S97*0.0263</f>
        <v>11.969130000000002</v>
      </c>
      <c r="V97" s="123"/>
      <c r="W97" s="122"/>
      <c r="X97" s="122"/>
      <c r="Y97" s="122"/>
      <c r="Z97" s="122"/>
      <c r="AG97" s="124">
        <v>3.34</v>
      </c>
      <c r="AH97" s="1">
        <v>6.68</v>
      </c>
      <c r="AI97" s="1"/>
      <c r="AJ97" s="124">
        <f t="shared" si="2"/>
        <v>2</v>
      </c>
      <c r="AK97" s="137" t="s">
        <v>70</v>
      </c>
      <c r="AL97" s="122"/>
      <c r="AM97" s="122">
        <v>615</v>
      </c>
      <c r="AN97" s="122">
        <v>37</v>
      </c>
      <c r="AO97" s="122"/>
      <c r="AP97" s="122"/>
      <c r="AQ97" s="122"/>
      <c r="AR97" s="122"/>
    </row>
    <row r="98" spans="1:44">
      <c r="A98" s="75">
        <v>97</v>
      </c>
      <c r="B98" s="116">
        <v>2004</v>
      </c>
      <c r="C98" s="118" t="s">
        <v>139</v>
      </c>
      <c r="D98" s="9" t="s">
        <v>108</v>
      </c>
      <c r="E98" s="9" t="s">
        <v>17</v>
      </c>
      <c r="F98" s="9" t="s">
        <v>37</v>
      </c>
      <c r="G98" s="9" t="s">
        <v>48</v>
      </c>
      <c r="H98" s="17">
        <v>38273</v>
      </c>
      <c r="I98" s="17"/>
      <c r="J98" s="18"/>
      <c r="K98" s="122">
        <v>53.075000000000003</v>
      </c>
      <c r="L98" s="122">
        <v>23.815000000000001</v>
      </c>
      <c r="M98" s="125">
        <v>0.5</v>
      </c>
      <c r="N98" s="122">
        <v>442.38499999999999</v>
      </c>
      <c r="O98" s="122">
        <v>9.36</v>
      </c>
      <c r="P98" s="122">
        <f>AJ98*1000*AN98/100</f>
        <v>1318.6826347305389</v>
      </c>
      <c r="Q98" s="122">
        <f>N98*P98/1000</f>
        <v>583.36541736526942</v>
      </c>
      <c r="R98" s="122">
        <f>K98*P98/1000</f>
        <v>69.989080838323346</v>
      </c>
      <c r="S98" s="122"/>
      <c r="T98" s="122">
        <f>$AJ98*1000*$AN98*0.01*$N98*0.001</f>
        <v>583.36541736526954</v>
      </c>
      <c r="U98" s="122">
        <f>$AJ98*1000*$AN98*0.01*$K98*0.001</f>
        <v>69.989080838323375</v>
      </c>
      <c r="V98" s="123"/>
      <c r="W98" s="122"/>
      <c r="X98" s="122"/>
      <c r="Y98" s="122"/>
      <c r="Z98" s="122"/>
      <c r="AG98" s="124">
        <v>3.34</v>
      </c>
      <c r="AH98" s="1">
        <v>143</v>
      </c>
      <c r="AI98" s="1"/>
      <c r="AJ98" s="124">
        <f t="shared" si="2"/>
        <v>42.814371257485028</v>
      </c>
      <c r="AK98" s="1" t="s">
        <v>5</v>
      </c>
      <c r="AL98" s="122"/>
      <c r="AM98" s="122"/>
      <c r="AN98" s="122">
        <v>3.08</v>
      </c>
      <c r="AO98" s="122">
        <v>29.970059880239521</v>
      </c>
      <c r="AP98" s="122">
        <v>25.688622754491018</v>
      </c>
      <c r="AQ98" s="122">
        <v>111.31736526946109</v>
      </c>
      <c r="AR98" s="122">
        <v>4.2814371257485035</v>
      </c>
    </row>
    <row r="99" spans="1:44">
      <c r="A99" s="75">
        <v>98</v>
      </c>
      <c r="B99" s="116">
        <v>2004</v>
      </c>
      <c r="C99" s="118" t="s">
        <v>139</v>
      </c>
      <c r="D99" s="9" t="s">
        <v>108</v>
      </c>
      <c r="E99" s="9" t="s">
        <v>17</v>
      </c>
      <c r="F99" s="9" t="s">
        <v>37</v>
      </c>
      <c r="G99" s="9" t="s">
        <v>48</v>
      </c>
      <c r="H99" s="17">
        <v>38299</v>
      </c>
      <c r="I99" s="17"/>
      <c r="J99" s="18"/>
      <c r="K99" s="122">
        <v>53.075000000000003</v>
      </c>
      <c r="L99" s="122">
        <v>23.815000000000001</v>
      </c>
      <c r="M99" s="125">
        <v>0.5</v>
      </c>
      <c r="N99" s="122">
        <v>442.38499999999999</v>
      </c>
      <c r="O99" s="122">
        <v>9.36</v>
      </c>
      <c r="P99" s="122">
        <f>AJ99*1000*AN99/100</f>
        <v>1032.8143712574849</v>
      </c>
      <c r="Q99" s="122">
        <f>N99*P99/1000</f>
        <v>456.90158562874245</v>
      </c>
      <c r="R99" s="122">
        <f>K99*P99/1000</f>
        <v>54.816622754491014</v>
      </c>
      <c r="S99" s="122"/>
      <c r="T99" s="122">
        <f>$AJ99*1000*$AN99*0.01*$N99*0.001</f>
        <v>456.90158562874257</v>
      </c>
      <c r="U99" s="122">
        <f>$AJ99*1000*$AN99*0.01*$K99*0.001</f>
        <v>54.816622754491029</v>
      </c>
      <c r="V99" s="123"/>
      <c r="W99" s="122"/>
      <c r="X99" s="122"/>
      <c r="Y99" s="122"/>
      <c r="Z99" s="122"/>
      <c r="AG99" s="124">
        <v>3.34</v>
      </c>
      <c r="AH99" s="1">
        <v>112</v>
      </c>
      <c r="AI99" s="1"/>
      <c r="AJ99" s="124">
        <f t="shared" si="2"/>
        <v>33.532934131736525</v>
      </c>
      <c r="AK99" s="1" t="s">
        <v>5</v>
      </c>
      <c r="AL99" s="122"/>
      <c r="AM99" s="122"/>
      <c r="AN99" s="122">
        <v>3.08</v>
      </c>
      <c r="AO99" s="122">
        <v>23.452095808383234</v>
      </c>
      <c r="AP99" s="122">
        <v>20.101796407185631</v>
      </c>
      <c r="AQ99" s="122">
        <v>87.107784431137731</v>
      </c>
      <c r="AR99" s="122">
        <v>3.3502994011976055</v>
      </c>
    </row>
    <row r="100" spans="1:44">
      <c r="A100" s="75">
        <v>99</v>
      </c>
      <c r="B100" s="116">
        <v>2004</v>
      </c>
      <c r="C100" s="118" t="s">
        <v>139</v>
      </c>
      <c r="D100" s="9" t="s">
        <v>108</v>
      </c>
      <c r="E100" s="9" t="s">
        <v>25</v>
      </c>
      <c r="F100" s="9" t="s">
        <v>29</v>
      </c>
      <c r="G100" s="9" t="s">
        <v>47</v>
      </c>
      <c r="H100" s="19">
        <v>38306</v>
      </c>
      <c r="I100" s="17">
        <v>38336</v>
      </c>
      <c r="J100" s="18">
        <v>6</v>
      </c>
      <c r="K100" s="122"/>
      <c r="L100" s="122"/>
      <c r="M100" s="122"/>
      <c r="N100" s="122"/>
      <c r="O100" s="122"/>
      <c r="P100" s="122"/>
      <c r="Q100" s="122"/>
      <c r="R100" s="122"/>
      <c r="S100" s="122">
        <f>AJ100*AM100*AL100</f>
        <v>1077.8443113772455</v>
      </c>
      <c r="T100" s="122">
        <f>$S100*0.4089</f>
        <v>440.73053892215569</v>
      </c>
      <c r="U100" s="122">
        <f>$S100*0.0263</f>
        <v>28.347305389221557</v>
      </c>
      <c r="V100" s="123"/>
      <c r="W100" s="122"/>
      <c r="X100" s="122"/>
      <c r="Y100" s="122"/>
      <c r="Z100" s="122"/>
      <c r="AG100" s="124">
        <v>3.34</v>
      </c>
      <c r="AH100" s="124">
        <v>80</v>
      </c>
      <c r="AI100" s="124"/>
      <c r="AJ100" s="124">
        <f>AH100/AG100</f>
        <v>23.952095808383234</v>
      </c>
      <c r="AK100" s="1" t="s">
        <v>66</v>
      </c>
      <c r="AL100" s="122">
        <v>30</v>
      </c>
      <c r="AM100" s="122">
        <v>1.5</v>
      </c>
      <c r="AN100" s="122"/>
      <c r="AO100" s="122"/>
      <c r="AP100" s="122"/>
      <c r="AQ100" s="122"/>
      <c r="AR100" s="122"/>
    </row>
    <row r="101" spans="1:44">
      <c r="A101" s="75">
        <v>100</v>
      </c>
      <c r="B101" s="115">
        <v>2005</v>
      </c>
      <c r="C101" s="117" t="s">
        <v>138</v>
      </c>
      <c r="D101" s="9" t="s">
        <v>108</v>
      </c>
      <c r="E101" s="9" t="s">
        <v>25</v>
      </c>
      <c r="F101" s="9" t="s">
        <v>35</v>
      </c>
      <c r="G101" s="9" t="s">
        <v>36</v>
      </c>
      <c r="H101" s="17">
        <v>38473</v>
      </c>
      <c r="I101" s="17"/>
      <c r="J101" s="18">
        <v>1</v>
      </c>
      <c r="K101" s="122"/>
      <c r="L101" s="122"/>
      <c r="M101" s="122"/>
      <c r="N101" s="122"/>
      <c r="O101" s="122"/>
      <c r="P101" s="122"/>
      <c r="Q101" s="122"/>
      <c r="R101" s="122"/>
      <c r="S101" s="122">
        <f>AJ101*AM101*AN101*0.01</f>
        <v>1681.8181818181818</v>
      </c>
      <c r="T101" s="122">
        <f>S101*0.4089</f>
        <v>687.69545454545448</v>
      </c>
      <c r="U101" s="122">
        <f>S101*0.0263</f>
        <v>44.231818181818184</v>
      </c>
      <c r="V101" s="123"/>
      <c r="W101" s="122"/>
      <c r="X101" s="122"/>
      <c r="Y101" s="122"/>
      <c r="Z101" s="122"/>
      <c r="AG101" s="124">
        <v>1.32</v>
      </c>
      <c r="AH101" s="1">
        <v>2</v>
      </c>
      <c r="AI101" s="1"/>
      <c r="AJ101" s="124">
        <f t="shared" ref="AJ101:AJ108" si="3">IF(AH101/AG101&gt;0, AH101/AG101,"")</f>
        <v>1.5151515151515151</v>
      </c>
      <c r="AK101" s="1" t="s">
        <v>67</v>
      </c>
      <c r="AL101" s="122"/>
      <c r="AM101" s="122">
        <v>3000</v>
      </c>
      <c r="AN101" s="122">
        <v>37</v>
      </c>
      <c r="AO101" s="122"/>
      <c r="AP101" s="122"/>
      <c r="AQ101" s="122"/>
      <c r="AR101" s="122"/>
    </row>
    <row r="102" spans="1:44">
      <c r="A102" s="75">
        <v>101</v>
      </c>
      <c r="B102" s="115">
        <v>2005</v>
      </c>
      <c r="C102" s="117" t="s">
        <v>138</v>
      </c>
      <c r="D102" s="9" t="s">
        <v>108</v>
      </c>
      <c r="E102" s="9" t="s">
        <v>17</v>
      </c>
      <c r="F102" s="9" t="s">
        <v>37</v>
      </c>
      <c r="G102" s="9" t="s">
        <v>48</v>
      </c>
      <c r="H102" s="17">
        <v>38482</v>
      </c>
      <c r="I102" s="17"/>
      <c r="J102" s="18"/>
      <c r="K102" s="122">
        <v>53.075000000000003</v>
      </c>
      <c r="L102" s="122">
        <v>23.815000000000001</v>
      </c>
      <c r="M102" s="125">
        <v>0.5</v>
      </c>
      <c r="N102" s="122">
        <v>442.38499999999999</v>
      </c>
      <c r="O102" s="122">
        <v>9.36</v>
      </c>
      <c r="P102" s="122">
        <f>AJ102*1000*AN102/100</f>
        <v>933.33333333333326</v>
      </c>
      <c r="Q102" s="122">
        <f>N102*P102/1000</f>
        <v>412.89266666666663</v>
      </c>
      <c r="R102" s="122">
        <f>K102*P102/1000</f>
        <v>49.536666666666662</v>
      </c>
      <c r="S102" s="122"/>
      <c r="T102" s="122">
        <f>$AJ102*1000*$AN102*0.01*$N102*0.001</f>
        <v>412.89266666666663</v>
      </c>
      <c r="U102" s="122">
        <f>$AJ102*1000*$AN102*0.01*$K102*0.001</f>
        <v>49.536666666666662</v>
      </c>
      <c r="V102" s="123"/>
      <c r="W102" s="122"/>
      <c r="X102" s="122"/>
      <c r="Y102" s="122"/>
      <c r="Z102" s="122"/>
      <c r="AG102" s="124">
        <v>1.32</v>
      </c>
      <c r="AH102" s="1">
        <v>40</v>
      </c>
      <c r="AI102" s="1"/>
      <c r="AJ102" s="124">
        <f t="shared" si="3"/>
        <v>30.303030303030301</v>
      </c>
      <c r="AK102" s="1" t="s">
        <v>5</v>
      </c>
      <c r="AL102" s="122"/>
      <c r="AM102" s="122"/>
      <c r="AN102" s="122">
        <v>3.08</v>
      </c>
      <c r="AO102" s="122">
        <v>21.212121212121215</v>
      </c>
      <c r="AP102" s="122">
        <v>18.181818181818183</v>
      </c>
      <c r="AQ102" s="122">
        <v>78.787878787878796</v>
      </c>
      <c r="AR102" s="122">
        <v>3.0303030303030307</v>
      </c>
    </row>
    <row r="103" spans="1:44">
      <c r="A103" s="75">
        <v>102</v>
      </c>
      <c r="B103" s="115">
        <v>2005</v>
      </c>
      <c r="C103" s="117" t="s">
        <v>138</v>
      </c>
      <c r="D103" s="9" t="s">
        <v>108</v>
      </c>
      <c r="E103" s="9" t="s">
        <v>17</v>
      </c>
      <c r="F103" s="9" t="s">
        <v>37</v>
      </c>
      <c r="G103" s="9" t="s">
        <v>48</v>
      </c>
      <c r="H103" s="17">
        <v>38505</v>
      </c>
      <c r="I103" s="17"/>
      <c r="J103" s="18"/>
      <c r="K103" s="122">
        <v>53.075000000000003</v>
      </c>
      <c r="L103" s="122">
        <v>23.815000000000001</v>
      </c>
      <c r="M103" s="125">
        <v>0.5</v>
      </c>
      <c r="N103" s="122">
        <v>442.38499999999999</v>
      </c>
      <c r="O103" s="122">
        <v>9.36</v>
      </c>
      <c r="P103" s="122">
        <f>AJ103*1000*AN103/100</f>
        <v>1185.3333333333335</v>
      </c>
      <c r="Q103" s="122">
        <f>N103*P103/1000</f>
        <v>524.3736866666668</v>
      </c>
      <c r="R103" s="122">
        <f>K103*P103/1000</f>
        <v>62.91156666666668</v>
      </c>
      <c r="S103" s="122"/>
      <c r="T103" s="122">
        <f>$AJ103*1000*$AN103*0.01*$N103*0.001</f>
        <v>524.3736866666668</v>
      </c>
      <c r="U103" s="122">
        <f>$AJ103*1000*$AN103*0.01*$K103*0.001</f>
        <v>62.91156666666668</v>
      </c>
      <c r="V103" s="123"/>
      <c r="W103" s="122"/>
      <c r="X103" s="122"/>
      <c r="Y103" s="122"/>
      <c r="Z103" s="122"/>
      <c r="AG103" s="124">
        <v>1.32</v>
      </c>
      <c r="AH103" s="1">
        <v>50.8</v>
      </c>
      <c r="AI103" s="1"/>
      <c r="AJ103" s="124">
        <f t="shared" si="3"/>
        <v>38.484848484848484</v>
      </c>
      <c r="AK103" s="1" t="s">
        <v>5</v>
      </c>
      <c r="AL103" s="122"/>
      <c r="AM103" s="122"/>
      <c r="AN103" s="122">
        <v>3.08</v>
      </c>
      <c r="AO103" s="122">
        <v>26.950000000000003</v>
      </c>
      <c r="AP103" s="122">
        <v>23.1</v>
      </c>
      <c r="AQ103" s="122">
        <v>100.10000000000002</v>
      </c>
      <c r="AR103" s="122">
        <v>3.850000000000001</v>
      </c>
    </row>
    <row r="104" spans="1:44">
      <c r="A104" s="75">
        <v>103</v>
      </c>
      <c r="B104" s="115">
        <v>2005</v>
      </c>
      <c r="C104" s="117" t="s">
        <v>138</v>
      </c>
      <c r="D104" s="9" t="s">
        <v>108</v>
      </c>
      <c r="E104" s="9" t="s">
        <v>25</v>
      </c>
      <c r="F104" s="9" t="s">
        <v>35</v>
      </c>
      <c r="G104" s="33" t="s">
        <v>43</v>
      </c>
      <c r="H104" s="17">
        <v>38531</v>
      </c>
      <c r="I104" s="17"/>
      <c r="J104" s="18">
        <v>2</v>
      </c>
      <c r="K104" s="122"/>
      <c r="L104" s="122"/>
      <c r="M104" s="122"/>
      <c r="N104" s="122"/>
      <c r="O104" s="122"/>
      <c r="P104" s="122"/>
      <c r="Q104" s="122"/>
      <c r="R104" s="122"/>
      <c r="S104" s="122">
        <f>AJ104*AM104*AN104*0.01</f>
        <v>795.4545454545455</v>
      </c>
      <c r="T104" s="122">
        <f>S104*0.4089</f>
        <v>325.26136363636363</v>
      </c>
      <c r="U104" s="122">
        <f>S104*0.0263</f>
        <v>20.920454545454547</v>
      </c>
      <c r="V104" s="123"/>
      <c r="W104" s="122"/>
      <c r="X104" s="122"/>
      <c r="Y104" s="122"/>
      <c r="Z104" s="122"/>
      <c r="AG104" s="124">
        <v>1.32</v>
      </c>
      <c r="AH104" s="1">
        <v>1</v>
      </c>
      <c r="AI104" s="1"/>
      <c r="AJ104" s="124">
        <f t="shared" si="3"/>
        <v>0.75757575757575757</v>
      </c>
      <c r="AK104" s="1" t="s">
        <v>67</v>
      </c>
      <c r="AL104" s="122"/>
      <c r="AM104" s="122">
        <v>1500</v>
      </c>
      <c r="AN104" s="122">
        <v>70</v>
      </c>
      <c r="AO104" s="122"/>
      <c r="AP104" s="122"/>
      <c r="AQ104" s="122"/>
      <c r="AR104" s="122"/>
    </row>
    <row r="105" spans="1:44">
      <c r="A105" s="75">
        <v>104</v>
      </c>
      <c r="B105" s="115">
        <v>2005</v>
      </c>
      <c r="C105" s="117" t="s">
        <v>138</v>
      </c>
      <c r="D105" s="9" t="s">
        <v>108</v>
      </c>
      <c r="E105" s="9" t="s">
        <v>25</v>
      </c>
      <c r="F105" s="9" t="s">
        <v>35</v>
      </c>
      <c r="G105" s="9" t="s">
        <v>36</v>
      </c>
      <c r="H105" s="17">
        <v>38560</v>
      </c>
      <c r="I105" s="17"/>
      <c r="J105" s="18">
        <v>3</v>
      </c>
      <c r="K105" s="122"/>
      <c r="L105" s="122"/>
      <c r="M105" s="122"/>
      <c r="N105" s="122"/>
      <c r="O105" s="122"/>
      <c r="P105" s="122"/>
      <c r="Q105" s="122"/>
      <c r="R105" s="122"/>
      <c r="S105" s="122">
        <f>AJ105*AM105*AN105*0.01</f>
        <v>2522.7272727272725</v>
      </c>
      <c r="T105" s="122">
        <f>S105*0.4089</f>
        <v>1031.5431818181817</v>
      </c>
      <c r="U105" s="122">
        <f>S105*0.0263</f>
        <v>66.347727272727269</v>
      </c>
      <c r="V105" s="123"/>
      <c r="W105" s="122"/>
      <c r="X105" s="122"/>
      <c r="Y105" s="122"/>
      <c r="Z105" s="122"/>
      <c r="AG105" s="124">
        <v>1.32</v>
      </c>
      <c r="AH105" s="1">
        <v>3</v>
      </c>
      <c r="AI105" s="1"/>
      <c r="AJ105" s="124">
        <f t="shared" si="3"/>
        <v>2.2727272727272725</v>
      </c>
      <c r="AK105" s="1" t="s">
        <v>67</v>
      </c>
      <c r="AL105" s="122"/>
      <c r="AM105" s="122">
        <v>3000</v>
      </c>
      <c r="AN105" s="122">
        <v>37</v>
      </c>
      <c r="AO105" s="122"/>
      <c r="AP105" s="122"/>
      <c r="AQ105" s="122"/>
      <c r="AR105" s="122"/>
    </row>
    <row r="106" spans="1:44">
      <c r="A106" s="75">
        <v>105</v>
      </c>
      <c r="B106" s="115">
        <v>2005</v>
      </c>
      <c r="C106" s="117" t="s">
        <v>138</v>
      </c>
      <c r="D106" s="9" t="s">
        <v>108</v>
      </c>
      <c r="E106" s="9" t="s">
        <v>17</v>
      </c>
      <c r="F106" s="9" t="s">
        <v>37</v>
      </c>
      <c r="G106" s="9" t="s">
        <v>48</v>
      </c>
      <c r="H106" s="17">
        <v>38567</v>
      </c>
      <c r="I106" s="17"/>
      <c r="J106" s="18"/>
      <c r="K106" s="122">
        <v>53.075000000000003</v>
      </c>
      <c r="L106" s="122">
        <v>23.815000000000001</v>
      </c>
      <c r="M106" s="125">
        <v>0.5</v>
      </c>
      <c r="N106" s="122">
        <v>442.38499999999999</v>
      </c>
      <c r="O106" s="122">
        <v>9.36</v>
      </c>
      <c r="P106" s="122">
        <f>AJ106*1000*AN106/100</f>
        <v>394.33333333333326</v>
      </c>
      <c r="Q106" s="122">
        <f>N106*P106/1000</f>
        <v>174.44715166666666</v>
      </c>
      <c r="R106" s="122">
        <f>K106*P106/1000</f>
        <v>20.929241666666666</v>
      </c>
      <c r="S106" s="122"/>
      <c r="T106" s="122">
        <f>$AJ106*1000*$AN106*0.01*$N106*0.001</f>
        <v>174.44715166666666</v>
      </c>
      <c r="U106" s="122">
        <f>$AJ106*1000*$AN106*0.01*$K106*0.001</f>
        <v>20.929241666666666</v>
      </c>
      <c r="V106" s="123"/>
      <c r="W106" s="122"/>
      <c r="X106" s="122"/>
      <c r="Y106" s="122"/>
      <c r="Z106" s="122"/>
      <c r="AG106" s="124">
        <v>1.32</v>
      </c>
      <c r="AH106" s="1">
        <v>16.899999999999999</v>
      </c>
      <c r="AI106" s="1"/>
      <c r="AJ106" s="124">
        <f t="shared" si="3"/>
        <v>12.803030303030301</v>
      </c>
      <c r="AK106" s="1" t="s">
        <v>5</v>
      </c>
      <c r="AL106" s="122"/>
      <c r="AM106" s="122"/>
      <c r="AN106" s="122">
        <v>3.08</v>
      </c>
      <c r="AO106" s="122">
        <v>9.0090000000000003</v>
      </c>
      <c r="AP106" s="122">
        <v>7.7219999999999995</v>
      </c>
      <c r="AQ106" s="122">
        <v>33.462000000000003</v>
      </c>
      <c r="AR106" s="122">
        <v>1.2870000000000001</v>
      </c>
    </row>
    <row r="107" spans="1:44">
      <c r="A107" s="75">
        <v>106</v>
      </c>
      <c r="B107" s="115">
        <v>2005</v>
      </c>
      <c r="C107" s="117" t="s">
        <v>138</v>
      </c>
      <c r="D107" s="9" t="s">
        <v>108</v>
      </c>
      <c r="E107" s="9" t="s">
        <v>25</v>
      </c>
      <c r="F107" s="9" t="s">
        <v>35</v>
      </c>
      <c r="G107" s="34" t="s">
        <v>36</v>
      </c>
      <c r="H107" s="17">
        <v>38595</v>
      </c>
      <c r="I107" s="17"/>
      <c r="J107" s="18">
        <v>4</v>
      </c>
      <c r="K107" s="122"/>
      <c r="L107" s="122"/>
      <c r="M107" s="122"/>
      <c r="N107" s="122"/>
      <c r="O107" s="122"/>
      <c r="P107" s="122"/>
      <c r="Q107" s="122"/>
      <c r="R107" s="122"/>
      <c r="S107" s="122">
        <f>AJ107*AM107*AN107*0.01</f>
        <v>1681.8181818181818</v>
      </c>
      <c r="T107" s="122">
        <f>S107*0.4089</f>
        <v>687.69545454545448</v>
      </c>
      <c r="U107" s="122">
        <f>S107*0.0263</f>
        <v>44.231818181818184</v>
      </c>
      <c r="V107" s="123"/>
      <c r="W107" s="122"/>
      <c r="X107" s="122"/>
      <c r="Y107" s="122"/>
      <c r="Z107" s="122"/>
      <c r="AG107" s="124">
        <v>1.32</v>
      </c>
      <c r="AH107" s="1">
        <v>2</v>
      </c>
      <c r="AI107" s="1"/>
      <c r="AJ107" s="124">
        <f t="shared" si="3"/>
        <v>1.5151515151515151</v>
      </c>
      <c r="AK107" s="1" t="s">
        <v>67</v>
      </c>
      <c r="AL107" s="122"/>
      <c r="AM107" s="122">
        <v>3000</v>
      </c>
      <c r="AN107" s="122">
        <v>37</v>
      </c>
      <c r="AO107" s="122"/>
      <c r="AP107" s="122"/>
      <c r="AQ107" s="122"/>
      <c r="AR107" s="122"/>
    </row>
    <row r="108" spans="1:44">
      <c r="A108" s="75">
        <v>107</v>
      </c>
      <c r="B108" s="115">
        <v>2005</v>
      </c>
      <c r="C108" s="117" t="s">
        <v>138</v>
      </c>
      <c r="D108" s="9" t="s">
        <v>108</v>
      </c>
      <c r="E108" s="9" t="s">
        <v>25</v>
      </c>
      <c r="F108" s="9" t="s">
        <v>35</v>
      </c>
      <c r="G108" s="33" t="s">
        <v>43</v>
      </c>
      <c r="H108" s="17">
        <v>38616</v>
      </c>
      <c r="I108" s="17"/>
      <c r="J108" s="18">
        <v>5</v>
      </c>
      <c r="K108" s="122"/>
      <c r="L108" s="122"/>
      <c r="M108" s="122"/>
      <c r="N108" s="122"/>
      <c r="O108" s="122"/>
      <c r="P108" s="122"/>
      <c r="Q108" s="122"/>
      <c r="R108" s="122"/>
      <c r="S108" s="122">
        <f>AJ108*AM108*AN108*0.01</f>
        <v>397.72727272727275</v>
      </c>
      <c r="T108" s="122">
        <f>S108*0.4089</f>
        <v>162.63068181818181</v>
      </c>
      <c r="U108" s="122">
        <f>S108*0.0263</f>
        <v>10.460227272727273</v>
      </c>
      <c r="V108" s="123"/>
      <c r="W108" s="122"/>
      <c r="X108" s="122"/>
      <c r="Y108" s="122"/>
      <c r="Z108" s="122"/>
      <c r="AG108" s="124">
        <v>1.32</v>
      </c>
      <c r="AH108" s="1">
        <v>0.5</v>
      </c>
      <c r="AI108" s="1"/>
      <c r="AJ108" s="124">
        <f t="shared" si="3"/>
        <v>0.37878787878787878</v>
      </c>
      <c r="AK108" s="1" t="s">
        <v>67</v>
      </c>
      <c r="AL108" s="122"/>
      <c r="AM108" s="122">
        <v>1500</v>
      </c>
      <c r="AN108" s="122">
        <v>70</v>
      </c>
      <c r="AO108" s="122"/>
      <c r="AP108" s="122"/>
      <c r="AQ108" s="122"/>
      <c r="AR108" s="122"/>
    </row>
    <row r="109" spans="1:44">
      <c r="A109" s="75">
        <v>108</v>
      </c>
      <c r="B109" s="115">
        <v>2005</v>
      </c>
      <c r="C109" s="117" t="s">
        <v>138</v>
      </c>
      <c r="D109" s="9" t="s">
        <v>108</v>
      </c>
      <c r="E109" s="9" t="s">
        <v>25</v>
      </c>
      <c r="F109" s="9" t="s">
        <v>29</v>
      </c>
      <c r="G109" s="9" t="s">
        <v>47</v>
      </c>
      <c r="H109" s="17">
        <v>38674</v>
      </c>
      <c r="I109" s="17">
        <v>38701</v>
      </c>
      <c r="J109" s="18">
        <v>6</v>
      </c>
      <c r="K109" s="122"/>
      <c r="L109" s="122"/>
      <c r="M109" s="122"/>
      <c r="N109" s="122"/>
      <c r="O109" s="122"/>
      <c r="P109" s="122"/>
      <c r="Q109" s="122"/>
      <c r="R109" s="122"/>
      <c r="S109" s="122">
        <f>AJ109*AM109*AL109</f>
        <v>2727.272727272727</v>
      </c>
      <c r="T109" s="122">
        <f>$S109*0.4089</f>
        <v>1115.181818181818</v>
      </c>
      <c r="U109" s="122">
        <f>$S109*0.0263</f>
        <v>71.72727272727272</v>
      </c>
      <c r="V109" s="123"/>
      <c r="W109" s="122"/>
      <c r="X109" s="122"/>
      <c r="Y109" s="122"/>
      <c r="Z109" s="122"/>
      <c r="AG109" s="124">
        <v>1.32</v>
      </c>
      <c r="AH109" s="124">
        <v>80</v>
      </c>
      <c r="AI109" s="124"/>
      <c r="AJ109" s="124">
        <f>AH109/AG109</f>
        <v>60.606060606060602</v>
      </c>
      <c r="AK109" s="1" t="s">
        <v>66</v>
      </c>
      <c r="AL109" s="122">
        <v>30</v>
      </c>
      <c r="AM109" s="122">
        <v>1.5</v>
      </c>
      <c r="AN109" s="122"/>
      <c r="AO109" s="122"/>
      <c r="AP109" s="122"/>
      <c r="AQ109" s="122"/>
      <c r="AR109" s="122"/>
    </row>
    <row r="110" spans="1:44">
      <c r="A110" s="75">
        <v>109</v>
      </c>
      <c r="B110" s="115">
        <v>2005</v>
      </c>
      <c r="C110" s="117" t="s">
        <v>138</v>
      </c>
      <c r="D110" s="9" t="s">
        <v>108</v>
      </c>
      <c r="E110" s="9" t="s">
        <v>17</v>
      </c>
      <c r="F110" s="9" t="s">
        <v>37</v>
      </c>
      <c r="G110" s="34" t="s">
        <v>48</v>
      </c>
      <c r="H110" s="17">
        <v>38691</v>
      </c>
      <c r="I110" s="17"/>
      <c r="J110" s="18"/>
      <c r="K110" s="122">
        <v>53.075000000000003</v>
      </c>
      <c r="L110" s="122">
        <v>23.815000000000001</v>
      </c>
      <c r="M110" s="125">
        <v>0.5</v>
      </c>
      <c r="N110" s="122">
        <v>442.38499999999999</v>
      </c>
      <c r="O110" s="122">
        <v>9.36</v>
      </c>
      <c r="P110" s="122">
        <f>AJ110*1000*AN110/100</f>
        <v>1189.9999999999998</v>
      </c>
      <c r="Q110" s="122">
        <f>N110*P110/1000</f>
        <v>526.43814999999995</v>
      </c>
      <c r="R110" s="122">
        <f>K110*P110/1000</f>
        <v>63.159249999999993</v>
      </c>
      <c r="S110" s="122"/>
      <c r="T110" s="122">
        <f>$AJ110*1000*$AN110*0.01*$N110*0.001</f>
        <v>526.43814999999995</v>
      </c>
      <c r="U110" s="122">
        <f>$AJ110*1000*$AN110*0.01*$K110*0.001</f>
        <v>63.159249999999993</v>
      </c>
      <c r="V110" s="123"/>
      <c r="W110" s="122"/>
      <c r="X110" s="122"/>
      <c r="Y110" s="122"/>
      <c r="Z110" s="122"/>
      <c r="AG110" s="124">
        <v>1.32</v>
      </c>
      <c r="AH110" s="1">
        <v>51</v>
      </c>
      <c r="AI110" s="1"/>
      <c r="AJ110" s="124">
        <f t="shared" ref="AJ110:AJ120" si="4">IF(AH110/AG110&gt;0, AH110/AG110,"")</f>
        <v>38.636363636363633</v>
      </c>
      <c r="AK110" s="1" t="s">
        <v>5</v>
      </c>
      <c r="AL110" s="122"/>
      <c r="AM110" s="122"/>
      <c r="AN110" s="122">
        <v>3.08</v>
      </c>
      <c r="AO110" s="122">
        <v>27.045454545454547</v>
      </c>
      <c r="AP110" s="122">
        <v>23.181818181818183</v>
      </c>
      <c r="AQ110" s="122">
        <v>100.45454545454547</v>
      </c>
      <c r="AR110" s="122">
        <v>3.8636363636363646</v>
      </c>
    </row>
    <row r="111" spans="1:44">
      <c r="A111" s="75">
        <v>110</v>
      </c>
      <c r="B111" s="115">
        <v>2005</v>
      </c>
      <c r="C111" s="118" t="s">
        <v>139</v>
      </c>
      <c r="D111" s="9" t="s">
        <v>108</v>
      </c>
      <c r="E111" s="9" t="s">
        <v>25</v>
      </c>
      <c r="F111" s="9" t="s">
        <v>35</v>
      </c>
      <c r="G111" s="9" t="s">
        <v>36</v>
      </c>
      <c r="H111" s="17">
        <v>38473</v>
      </c>
      <c r="I111" s="17"/>
      <c r="J111" s="18">
        <v>1</v>
      </c>
      <c r="K111" s="122"/>
      <c r="L111" s="122"/>
      <c r="M111" s="122"/>
      <c r="N111" s="122"/>
      <c r="O111" s="122"/>
      <c r="P111" s="122"/>
      <c r="Q111" s="122"/>
      <c r="R111" s="122"/>
      <c r="S111" s="122">
        <f>AJ111*AM111*AN111*0.01</f>
        <v>1661.6766467065868</v>
      </c>
      <c r="T111" s="122">
        <f>$S111*0.4089</f>
        <v>679.45958083832329</v>
      </c>
      <c r="U111" s="122">
        <f>S111*0.0263</f>
        <v>43.702095808383234</v>
      </c>
      <c r="V111" s="123"/>
      <c r="W111" s="122"/>
      <c r="X111" s="122"/>
      <c r="Y111" s="122"/>
      <c r="Z111" s="122"/>
      <c r="AG111" s="124">
        <v>3.34</v>
      </c>
      <c r="AH111" s="1">
        <v>5</v>
      </c>
      <c r="AI111" s="1"/>
      <c r="AJ111" s="124">
        <f t="shared" si="4"/>
        <v>1.4970059880239521</v>
      </c>
      <c r="AK111" s="1" t="s">
        <v>67</v>
      </c>
      <c r="AL111" s="122"/>
      <c r="AM111" s="122">
        <v>3000</v>
      </c>
      <c r="AN111" s="122">
        <v>37</v>
      </c>
      <c r="AO111" s="122"/>
      <c r="AP111" s="122"/>
      <c r="AQ111" s="122"/>
      <c r="AR111" s="122"/>
    </row>
    <row r="112" spans="1:44">
      <c r="A112" s="75">
        <v>111</v>
      </c>
      <c r="B112" s="115">
        <v>2005</v>
      </c>
      <c r="C112" s="118" t="s">
        <v>139</v>
      </c>
      <c r="D112" s="9" t="s">
        <v>108</v>
      </c>
      <c r="E112" s="9" t="s">
        <v>17</v>
      </c>
      <c r="F112" s="9" t="s">
        <v>37</v>
      </c>
      <c r="G112" s="9" t="s">
        <v>48</v>
      </c>
      <c r="H112" s="17">
        <v>38476</v>
      </c>
      <c r="I112" s="19"/>
      <c r="J112" s="18"/>
      <c r="K112" s="122">
        <v>53.075000000000003</v>
      </c>
      <c r="L112" s="122">
        <v>23.815000000000001</v>
      </c>
      <c r="M112" s="125">
        <v>0.5</v>
      </c>
      <c r="N112" s="122">
        <v>442.38499999999999</v>
      </c>
      <c r="O112" s="122">
        <v>9.36</v>
      </c>
      <c r="P112" s="122">
        <f>AJ112*1000*AN112/100</f>
        <v>1291.0179640718563</v>
      </c>
      <c r="Q112" s="122">
        <f>N112*P112/1000</f>
        <v>571.12698203592822</v>
      </c>
      <c r="R112" s="122">
        <f>K112*P112/1000</f>
        <v>68.520778443113784</v>
      </c>
      <c r="S112" s="122"/>
      <c r="T112" s="122">
        <f>$AJ112*1000*$AN112*0.01*$N112*0.001</f>
        <v>571.12698203592822</v>
      </c>
      <c r="U112" s="122">
        <f>$AJ112*1000*$AN112*0.01*$K112*0.001</f>
        <v>68.520778443113784</v>
      </c>
      <c r="V112" s="123"/>
      <c r="W112" s="122"/>
      <c r="X112" s="122"/>
      <c r="Y112" s="122"/>
      <c r="Z112" s="122"/>
      <c r="AG112" s="124">
        <v>3.34</v>
      </c>
      <c r="AH112" s="1">
        <v>140</v>
      </c>
      <c r="AI112" s="1"/>
      <c r="AJ112" s="124">
        <f t="shared" si="4"/>
        <v>41.91616766467066</v>
      </c>
      <c r="AK112" s="1" t="s">
        <v>5</v>
      </c>
      <c r="AL112" s="122"/>
      <c r="AM112" s="122"/>
      <c r="AN112" s="122">
        <v>3.08</v>
      </c>
      <c r="AO112" s="122">
        <v>29.341317365269461</v>
      </c>
      <c r="AP112" s="122">
        <v>25.149700598802397</v>
      </c>
      <c r="AQ112" s="122">
        <v>108.98203592814372</v>
      </c>
      <c r="AR112" s="122">
        <v>4.1916167664670665</v>
      </c>
    </row>
    <row r="113" spans="1:44">
      <c r="A113" s="75">
        <v>112</v>
      </c>
      <c r="B113" s="115">
        <v>2005</v>
      </c>
      <c r="C113" s="118" t="s">
        <v>139</v>
      </c>
      <c r="D113" s="9" t="s">
        <v>108</v>
      </c>
      <c r="E113" s="9" t="s">
        <v>17</v>
      </c>
      <c r="F113" s="9" t="s">
        <v>37</v>
      </c>
      <c r="G113" s="9" t="s">
        <v>48</v>
      </c>
      <c r="H113" s="17">
        <v>38505</v>
      </c>
      <c r="I113" s="17"/>
      <c r="J113" s="18"/>
      <c r="K113" s="122">
        <v>53.075000000000003</v>
      </c>
      <c r="L113" s="122">
        <v>23.815000000000001</v>
      </c>
      <c r="M113" s="125">
        <v>0.5</v>
      </c>
      <c r="N113" s="122">
        <v>442.38499999999999</v>
      </c>
      <c r="O113" s="122">
        <v>9.36</v>
      </c>
      <c r="P113" s="122">
        <f>AJ113*1000*AN113/100</f>
        <v>1189.5808383233534</v>
      </c>
      <c r="Q113" s="122">
        <f>N113*P113/1000</f>
        <v>526.25271916167674</v>
      </c>
      <c r="R113" s="122">
        <f>K113*P113/1000</f>
        <v>63.137002994011986</v>
      </c>
      <c r="S113" s="122"/>
      <c r="T113" s="122">
        <f>$AJ113*1000*$AN113*0.01*$N113*0.001</f>
        <v>526.25271916167674</v>
      </c>
      <c r="U113" s="122">
        <f>$AJ113*1000*$AN113*0.01*$K113*0.001</f>
        <v>63.137002994011986</v>
      </c>
      <c r="V113" s="123"/>
      <c r="W113" s="122"/>
      <c r="X113" s="122"/>
      <c r="Y113" s="122"/>
      <c r="Z113" s="122"/>
      <c r="AG113" s="124">
        <v>3.34</v>
      </c>
      <c r="AH113" s="1">
        <v>129</v>
      </c>
      <c r="AI113" s="1"/>
      <c r="AJ113" s="124">
        <f t="shared" si="4"/>
        <v>38.622754491017965</v>
      </c>
      <c r="AK113" s="1" t="s">
        <v>5</v>
      </c>
      <c r="AL113" s="122"/>
      <c r="AM113" s="122"/>
      <c r="AN113" s="122">
        <v>3.08</v>
      </c>
      <c r="AO113" s="122">
        <v>26.95</v>
      </c>
      <c r="AP113" s="122">
        <v>23.1</v>
      </c>
      <c r="AQ113" s="122">
        <v>100.10000000000001</v>
      </c>
      <c r="AR113" s="122">
        <v>3.8500000000000005</v>
      </c>
    </row>
    <row r="114" spans="1:44">
      <c r="A114" s="75">
        <v>113</v>
      </c>
      <c r="B114" s="115">
        <v>2005</v>
      </c>
      <c r="C114" s="118" t="s">
        <v>139</v>
      </c>
      <c r="D114" s="9" t="s">
        <v>108</v>
      </c>
      <c r="E114" s="9" t="s">
        <v>25</v>
      </c>
      <c r="F114" s="9" t="s">
        <v>35</v>
      </c>
      <c r="G114" s="9" t="s">
        <v>36</v>
      </c>
      <c r="H114" s="17">
        <v>38531</v>
      </c>
      <c r="I114" s="17"/>
      <c r="J114" s="18">
        <v>2</v>
      </c>
      <c r="K114" s="122"/>
      <c r="L114" s="122"/>
      <c r="M114" s="122"/>
      <c r="N114" s="122"/>
      <c r="O114" s="122"/>
      <c r="P114" s="122"/>
      <c r="Q114" s="122"/>
      <c r="R114" s="122"/>
      <c r="S114" s="122">
        <f>AJ114*AM114*AN114*0.01</f>
        <v>830.83832335329339</v>
      </c>
      <c r="T114" s="122">
        <f>$S114*0.4089</f>
        <v>339.72979041916165</v>
      </c>
      <c r="U114" s="122">
        <f>S114*0.0263</f>
        <v>21.851047904191617</v>
      </c>
      <c r="V114" s="123"/>
      <c r="W114" s="122"/>
      <c r="X114" s="122"/>
      <c r="Y114" s="122"/>
      <c r="Z114" s="122"/>
      <c r="AG114" s="124">
        <v>3.34</v>
      </c>
      <c r="AH114" s="1">
        <v>2.5</v>
      </c>
      <c r="AI114" s="1"/>
      <c r="AJ114" s="124">
        <f t="shared" si="4"/>
        <v>0.74850299401197606</v>
      </c>
      <c r="AK114" s="1" t="s">
        <v>67</v>
      </c>
      <c r="AL114" s="122"/>
      <c r="AM114" s="122">
        <v>3000</v>
      </c>
      <c r="AN114" s="122">
        <v>37</v>
      </c>
      <c r="AO114" s="122"/>
      <c r="AP114" s="122"/>
      <c r="AQ114" s="122"/>
      <c r="AR114" s="122"/>
    </row>
    <row r="115" spans="1:44">
      <c r="A115" s="75">
        <v>114</v>
      </c>
      <c r="B115" s="115">
        <v>2005</v>
      </c>
      <c r="C115" s="118" t="s">
        <v>139</v>
      </c>
      <c r="D115" s="9" t="s">
        <v>108</v>
      </c>
      <c r="E115" s="9" t="s">
        <v>25</v>
      </c>
      <c r="F115" s="9" t="s">
        <v>35</v>
      </c>
      <c r="G115" s="9" t="s">
        <v>36</v>
      </c>
      <c r="H115" s="17">
        <v>38560</v>
      </c>
      <c r="I115" s="17"/>
      <c r="J115" s="18">
        <v>3</v>
      </c>
      <c r="K115" s="122"/>
      <c r="L115" s="122"/>
      <c r="M115" s="122"/>
      <c r="N115" s="122"/>
      <c r="O115" s="122"/>
      <c r="P115" s="122"/>
      <c r="Q115" s="122"/>
      <c r="R115" s="122"/>
      <c r="S115" s="122">
        <f>AJ115*AM115*AN115*0.01</f>
        <v>332.33532934131739</v>
      </c>
      <c r="T115" s="122">
        <f>$S115*0.4089</f>
        <v>135.89191616766468</v>
      </c>
      <c r="U115" s="122">
        <f>S115*0.0263</f>
        <v>8.7404191616766482</v>
      </c>
      <c r="V115" s="123"/>
      <c r="W115" s="122"/>
      <c r="X115" s="122"/>
      <c r="Y115" s="122"/>
      <c r="Z115" s="122"/>
      <c r="AG115" s="124">
        <v>3.34</v>
      </c>
      <c r="AH115" s="1">
        <v>1</v>
      </c>
      <c r="AI115" s="1"/>
      <c r="AJ115" s="124">
        <f t="shared" si="4"/>
        <v>0.29940119760479045</v>
      </c>
      <c r="AK115" s="1" t="s">
        <v>67</v>
      </c>
      <c r="AL115" s="122"/>
      <c r="AM115" s="122">
        <v>3000</v>
      </c>
      <c r="AN115" s="122">
        <v>37</v>
      </c>
      <c r="AO115" s="122"/>
      <c r="AP115" s="122"/>
      <c r="AQ115" s="122"/>
      <c r="AR115" s="122"/>
    </row>
    <row r="116" spans="1:44">
      <c r="A116" s="75">
        <v>115</v>
      </c>
      <c r="B116" s="115">
        <v>2005</v>
      </c>
      <c r="C116" s="118" t="s">
        <v>139</v>
      </c>
      <c r="D116" s="9" t="s">
        <v>108</v>
      </c>
      <c r="E116" s="9" t="s">
        <v>25</v>
      </c>
      <c r="F116" s="9" t="s">
        <v>35</v>
      </c>
      <c r="G116" s="9" t="s">
        <v>36</v>
      </c>
      <c r="H116" s="17">
        <v>38561</v>
      </c>
      <c r="I116" s="17"/>
      <c r="J116" s="18">
        <v>3</v>
      </c>
      <c r="K116" s="122"/>
      <c r="L116" s="122"/>
      <c r="M116" s="122"/>
      <c r="N116" s="122"/>
      <c r="O116" s="122"/>
      <c r="P116" s="122"/>
      <c r="Q116" s="122"/>
      <c r="R116" s="122"/>
      <c r="S116" s="122">
        <f>AJ116*AM116*AN116*0.01</f>
        <v>830.83832335329339</v>
      </c>
      <c r="T116" s="122">
        <f>$S116*0.4089</f>
        <v>339.72979041916165</v>
      </c>
      <c r="U116" s="122">
        <f>S116*0.0263</f>
        <v>21.851047904191617</v>
      </c>
      <c r="V116" s="123"/>
      <c r="W116" s="122"/>
      <c r="X116" s="122"/>
      <c r="Y116" s="122"/>
      <c r="Z116" s="122"/>
      <c r="AG116" s="124">
        <v>3.34</v>
      </c>
      <c r="AH116" s="1">
        <v>2.5</v>
      </c>
      <c r="AI116" s="1"/>
      <c r="AJ116" s="124">
        <f>IF(AH116/AG116&gt;0, AH116/AG116,"")</f>
        <v>0.74850299401197606</v>
      </c>
      <c r="AK116" s="1" t="s">
        <v>67</v>
      </c>
      <c r="AL116" s="122"/>
      <c r="AM116" s="122">
        <v>3000</v>
      </c>
      <c r="AN116" s="122">
        <v>37</v>
      </c>
      <c r="AO116" s="122"/>
      <c r="AP116" s="122"/>
      <c r="AQ116" s="122"/>
      <c r="AR116" s="122"/>
    </row>
    <row r="117" spans="1:44">
      <c r="A117" s="75">
        <v>116</v>
      </c>
      <c r="B117" s="115">
        <v>2005</v>
      </c>
      <c r="C117" s="118" t="s">
        <v>139</v>
      </c>
      <c r="D117" s="9" t="s">
        <v>108</v>
      </c>
      <c r="E117" s="9" t="s">
        <v>17</v>
      </c>
      <c r="F117" s="9" t="s">
        <v>37</v>
      </c>
      <c r="G117" s="9" t="s">
        <v>48</v>
      </c>
      <c r="H117" s="17">
        <v>38567</v>
      </c>
      <c r="I117" s="17"/>
      <c r="J117" s="18"/>
      <c r="K117" s="122">
        <v>53.075000000000003</v>
      </c>
      <c r="L117" s="122">
        <v>23.815000000000001</v>
      </c>
      <c r="M117" s="125">
        <v>0.5</v>
      </c>
      <c r="N117" s="122">
        <v>442.38499999999999</v>
      </c>
      <c r="O117" s="122">
        <v>9.36</v>
      </c>
      <c r="P117" s="122">
        <f>AJ117*1000*AN117/100</f>
        <v>396.52694610778445</v>
      </c>
      <c r="Q117" s="122">
        <f>N117*P117/1000</f>
        <v>175.41757305389223</v>
      </c>
      <c r="R117" s="122">
        <f>K117*P117/1000</f>
        <v>21.045667664670663</v>
      </c>
      <c r="S117" s="122"/>
      <c r="T117" s="122">
        <f>$AJ117*1000*$AN117*0.01*$N117*0.001</f>
        <v>175.41757305389223</v>
      </c>
      <c r="U117" s="122">
        <f>$AJ117*1000*$AN117*0.01*$K117*0.001</f>
        <v>21.045667664670663</v>
      </c>
      <c r="V117" s="123"/>
      <c r="W117" s="122"/>
      <c r="X117" s="122"/>
      <c r="Y117" s="122"/>
      <c r="Z117" s="122"/>
      <c r="AG117" s="124">
        <v>3.34</v>
      </c>
      <c r="AH117" s="1">
        <v>43</v>
      </c>
      <c r="AI117" s="1"/>
      <c r="AJ117" s="124">
        <f t="shared" si="4"/>
        <v>12.874251497005989</v>
      </c>
      <c r="AK117" s="1" t="s">
        <v>5</v>
      </c>
      <c r="AL117" s="122"/>
      <c r="AM117" s="122"/>
      <c r="AN117" s="122">
        <v>3.08</v>
      </c>
      <c r="AO117" s="122">
        <v>8.9600000000000009</v>
      </c>
      <c r="AP117" s="122">
        <v>7.68</v>
      </c>
      <c r="AQ117" s="122">
        <v>33.28</v>
      </c>
      <c r="AR117" s="122">
        <v>1.2800000000000002</v>
      </c>
    </row>
    <row r="118" spans="1:44">
      <c r="A118" s="75">
        <v>117</v>
      </c>
      <c r="B118" s="115">
        <v>2005</v>
      </c>
      <c r="C118" s="118" t="s">
        <v>139</v>
      </c>
      <c r="D118" s="9" t="s">
        <v>108</v>
      </c>
      <c r="E118" s="9" t="s">
        <v>25</v>
      </c>
      <c r="F118" s="9" t="s">
        <v>35</v>
      </c>
      <c r="G118" s="9" t="s">
        <v>36</v>
      </c>
      <c r="H118" s="17">
        <v>38595</v>
      </c>
      <c r="I118" s="17"/>
      <c r="J118" s="18">
        <v>4</v>
      </c>
      <c r="K118" s="122"/>
      <c r="L118" s="122"/>
      <c r="M118" s="122"/>
      <c r="N118" s="122"/>
      <c r="O118" s="122"/>
      <c r="P118" s="122"/>
      <c r="Q118" s="122"/>
      <c r="R118" s="122"/>
      <c r="S118" s="122">
        <f>AJ118*AM118*AN118*0.01</f>
        <v>830.83832335329339</v>
      </c>
      <c r="T118" s="122">
        <f>$S118*0.4089</f>
        <v>339.72979041916165</v>
      </c>
      <c r="U118" s="122">
        <f>S118*0.0263</f>
        <v>21.851047904191617</v>
      </c>
      <c r="V118" s="123"/>
      <c r="W118" s="122"/>
      <c r="X118" s="122"/>
      <c r="Y118" s="122"/>
      <c r="Z118" s="122"/>
      <c r="AG118" s="124">
        <v>3.34</v>
      </c>
      <c r="AH118" s="1">
        <v>2.5</v>
      </c>
      <c r="AI118" s="1"/>
      <c r="AJ118" s="124">
        <f t="shared" si="4"/>
        <v>0.74850299401197606</v>
      </c>
      <c r="AK118" s="1" t="s">
        <v>67</v>
      </c>
      <c r="AL118" s="122"/>
      <c r="AM118" s="122">
        <v>3000</v>
      </c>
      <c r="AN118" s="122">
        <v>37</v>
      </c>
      <c r="AO118" s="122"/>
      <c r="AP118" s="122"/>
      <c r="AQ118" s="122"/>
      <c r="AR118" s="122"/>
    </row>
    <row r="119" spans="1:44">
      <c r="A119" s="75">
        <v>118</v>
      </c>
      <c r="B119" s="115">
        <v>2005</v>
      </c>
      <c r="C119" s="118" t="s">
        <v>139</v>
      </c>
      <c r="D119" s="9" t="s">
        <v>108</v>
      </c>
      <c r="E119" s="9" t="s">
        <v>25</v>
      </c>
      <c r="F119" s="9" t="s">
        <v>35</v>
      </c>
      <c r="G119" s="9" t="s">
        <v>36</v>
      </c>
      <c r="H119" s="17">
        <v>38596</v>
      </c>
      <c r="I119" s="17"/>
      <c r="J119" s="18">
        <v>4</v>
      </c>
      <c r="K119" s="122"/>
      <c r="L119" s="122"/>
      <c r="M119" s="122"/>
      <c r="N119" s="122"/>
      <c r="O119" s="122"/>
      <c r="P119" s="122"/>
      <c r="Q119" s="122"/>
      <c r="R119" s="122"/>
      <c r="S119" s="122">
        <f>AJ119*AM119*AN119*0.01</f>
        <v>664.67065868263478</v>
      </c>
      <c r="T119" s="122">
        <f>$S119*0.4089</f>
        <v>271.78383233532935</v>
      </c>
      <c r="U119" s="122">
        <f>S119*0.0263</f>
        <v>17.480838323353296</v>
      </c>
      <c r="V119" s="123"/>
      <c r="W119" s="122"/>
      <c r="X119" s="122"/>
      <c r="Y119" s="122"/>
      <c r="Z119" s="122"/>
      <c r="AG119" s="124">
        <v>3.34</v>
      </c>
      <c r="AH119" s="1">
        <v>2</v>
      </c>
      <c r="AI119" s="1"/>
      <c r="AJ119" s="124">
        <f t="shared" si="4"/>
        <v>0.5988023952095809</v>
      </c>
      <c r="AK119" s="1" t="s">
        <v>67</v>
      </c>
      <c r="AL119" s="122"/>
      <c r="AM119" s="122">
        <v>3000</v>
      </c>
      <c r="AN119" s="122">
        <v>37</v>
      </c>
      <c r="AO119" s="122"/>
      <c r="AP119" s="122"/>
      <c r="AQ119" s="122"/>
      <c r="AR119" s="122"/>
    </row>
    <row r="120" spans="1:44">
      <c r="A120" s="75">
        <v>119</v>
      </c>
      <c r="B120" s="115">
        <v>2005</v>
      </c>
      <c r="C120" s="118" t="s">
        <v>139</v>
      </c>
      <c r="D120" s="9" t="s">
        <v>108</v>
      </c>
      <c r="E120" s="9" t="s">
        <v>25</v>
      </c>
      <c r="F120" s="9" t="s">
        <v>35</v>
      </c>
      <c r="G120" s="33" t="s">
        <v>43</v>
      </c>
      <c r="H120" s="17">
        <v>38616</v>
      </c>
      <c r="I120" s="17"/>
      <c r="J120" s="18">
        <v>5</v>
      </c>
      <c r="K120" s="122"/>
      <c r="L120" s="122"/>
      <c r="M120" s="122"/>
      <c r="N120" s="122"/>
      <c r="O120" s="122"/>
      <c r="P120" s="122"/>
      <c r="Q120" s="122"/>
      <c r="R120" s="122"/>
      <c r="S120" s="122">
        <f>AJ120*AM120*AN120*0.01</f>
        <v>471.55688622754496</v>
      </c>
      <c r="T120" s="122">
        <f>$S120*0.4089</f>
        <v>192.81961077844312</v>
      </c>
      <c r="U120" s="122">
        <f>S120*0.0263</f>
        <v>12.401946107784433</v>
      </c>
      <c r="V120" s="123"/>
      <c r="W120" s="122"/>
      <c r="X120" s="122"/>
      <c r="Y120" s="122"/>
      <c r="Z120" s="122"/>
      <c r="AG120" s="124">
        <v>3.34</v>
      </c>
      <c r="AH120" s="1">
        <v>1.5</v>
      </c>
      <c r="AI120" s="1"/>
      <c r="AJ120" s="124">
        <f t="shared" si="4"/>
        <v>0.44910179640718567</v>
      </c>
      <c r="AK120" s="1" t="s">
        <v>67</v>
      </c>
      <c r="AL120" s="122"/>
      <c r="AM120" s="122">
        <v>1500</v>
      </c>
      <c r="AN120" s="122">
        <v>70</v>
      </c>
      <c r="AO120" s="122"/>
      <c r="AP120" s="122"/>
      <c r="AQ120" s="122"/>
      <c r="AR120" s="122"/>
    </row>
    <row r="121" spans="1:44">
      <c r="A121" s="75">
        <v>120</v>
      </c>
      <c r="B121" s="115">
        <v>2005</v>
      </c>
      <c r="C121" s="118" t="s">
        <v>139</v>
      </c>
      <c r="D121" s="9" t="s">
        <v>108</v>
      </c>
      <c r="E121" s="9" t="s">
        <v>25</v>
      </c>
      <c r="F121" s="9" t="s">
        <v>29</v>
      </c>
      <c r="G121" s="9" t="s">
        <v>47</v>
      </c>
      <c r="H121" s="17">
        <v>38680</v>
      </c>
      <c r="I121" s="17">
        <v>38701</v>
      </c>
      <c r="J121" s="18">
        <v>6</v>
      </c>
      <c r="K121" s="122"/>
      <c r="L121" s="122"/>
      <c r="M121" s="122"/>
      <c r="N121" s="122"/>
      <c r="O121" s="122"/>
      <c r="P121" s="122"/>
      <c r="Q121" s="122"/>
      <c r="R121" s="122"/>
      <c r="S121" s="122">
        <f>AJ121*AM121*AL121</f>
        <v>1077.8443113772455</v>
      </c>
      <c r="T121" s="122">
        <f>$S121*0.4089</f>
        <v>440.73053892215569</v>
      </c>
      <c r="U121" s="122">
        <f>$S121*0.0263</f>
        <v>28.347305389221557</v>
      </c>
      <c r="V121" s="123"/>
      <c r="W121" s="122"/>
      <c r="X121" s="122"/>
      <c r="Y121" s="122"/>
      <c r="Z121" s="122"/>
      <c r="AG121" s="124">
        <v>3.34</v>
      </c>
      <c r="AH121" s="124">
        <v>80</v>
      </c>
      <c r="AI121" s="124"/>
      <c r="AJ121" s="124">
        <f>AH121/AG121</f>
        <v>23.952095808383234</v>
      </c>
      <c r="AK121" s="1" t="s">
        <v>66</v>
      </c>
      <c r="AL121" s="122">
        <v>30</v>
      </c>
      <c r="AM121" s="122">
        <v>1.5</v>
      </c>
      <c r="AN121" s="122"/>
      <c r="AO121" s="122"/>
      <c r="AP121" s="122"/>
      <c r="AQ121" s="122"/>
      <c r="AR121" s="122"/>
    </row>
    <row r="122" spans="1:44">
      <c r="A122" s="75">
        <v>121</v>
      </c>
      <c r="B122" s="115">
        <v>2005</v>
      </c>
      <c r="C122" s="118" t="s">
        <v>139</v>
      </c>
      <c r="D122" s="9" t="s">
        <v>108</v>
      </c>
      <c r="E122" s="9" t="s">
        <v>17</v>
      </c>
      <c r="F122" s="9" t="s">
        <v>37</v>
      </c>
      <c r="G122" s="34" t="s">
        <v>48</v>
      </c>
      <c r="H122" s="17">
        <v>38691</v>
      </c>
      <c r="I122" s="17"/>
      <c r="J122" s="18"/>
      <c r="K122" s="122">
        <v>53.075000000000003</v>
      </c>
      <c r="L122" s="122">
        <v>23.815000000000001</v>
      </c>
      <c r="M122" s="125">
        <v>0.5</v>
      </c>
      <c r="N122" s="122">
        <v>442.38499999999999</v>
      </c>
      <c r="O122" s="122">
        <v>9.36</v>
      </c>
      <c r="P122" s="122">
        <f>AJ122*1000*AN122/100</f>
        <v>1189.5808383233534</v>
      </c>
      <c r="Q122" s="122">
        <f>N122*P122/1000</f>
        <v>526.25271916167674</v>
      </c>
      <c r="R122" s="122">
        <f>K122*P122/1000</f>
        <v>63.137002994011986</v>
      </c>
      <c r="S122" s="122"/>
      <c r="T122" s="122">
        <f>$AJ122*1000*$AN122*0.01*$N122*0.001</f>
        <v>526.25271916167674</v>
      </c>
      <c r="U122" s="122">
        <f>$AJ122*1000*$AN122*0.01*$K122*0.001</f>
        <v>63.137002994011986</v>
      </c>
      <c r="V122" s="123"/>
      <c r="W122" s="122"/>
      <c r="X122" s="122"/>
      <c r="Y122" s="122"/>
      <c r="Z122" s="122"/>
      <c r="AG122" s="124">
        <v>3.34</v>
      </c>
      <c r="AH122" s="1">
        <v>129</v>
      </c>
      <c r="AI122" s="1"/>
      <c r="AJ122" s="124">
        <f>IF(AH122/AG122&gt;0, AH122/AG122,"")</f>
        <v>38.622754491017965</v>
      </c>
      <c r="AK122" s="1" t="s">
        <v>5</v>
      </c>
      <c r="AL122" s="122"/>
      <c r="AM122" s="122"/>
      <c r="AN122" s="122">
        <v>3.08</v>
      </c>
      <c r="AO122" s="122">
        <v>27.035928143712574</v>
      </c>
      <c r="AP122" s="122">
        <v>23.173652694610777</v>
      </c>
      <c r="AQ122" s="122">
        <v>100.41916167664672</v>
      </c>
      <c r="AR122" s="122">
        <v>3.8622754491017965</v>
      </c>
    </row>
    <row r="123" spans="1:44">
      <c r="A123" s="75">
        <v>122</v>
      </c>
      <c r="B123" s="107">
        <v>2006</v>
      </c>
      <c r="C123" s="117" t="s">
        <v>138</v>
      </c>
      <c r="D123" s="9" t="s">
        <v>108</v>
      </c>
      <c r="E123" s="9" t="s">
        <v>17</v>
      </c>
      <c r="F123" s="9" t="s">
        <v>37</v>
      </c>
      <c r="G123" s="9" t="s">
        <v>48</v>
      </c>
      <c r="H123" s="17">
        <v>38800</v>
      </c>
      <c r="I123" s="19"/>
      <c r="J123" s="18"/>
      <c r="K123" s="122">
        <v>53.075000000000003</v>
      </c>
      <c r="L123" s="122">
        <v>23.815000000000001</v>
      </c>
      <c r="M123" s="125">
        <v>0.5</v>
      </c>
      <c r="N123" s="122">
        <v>442.38499999999999</v>
      </c>
      <c r="O123" s="122">
        <v>9.36</v>
      </c>
      <c r="P123" s="122">
        <f>AJ123*1000*AN123/100</f>
        <v>778.8</v>
      </c>
      <c r="Q123" s="122">
        <f>N123*P123/1000</f>
        <v>344.52943799999997</v>
      </c>
      <c r="R123" s="122">
        <f>K123*P123/1000</f>
        <v>41.334809999999997</v>
      </c>
      <c r="S123" s="122"/>
      <c r="T123" s="122">
        <f>$AJ123*1000*$AN123*0.01*$N123*0.001</f>
        <v>344.52943800000003</v>
      </c>
      <c r="U123" s="122">
        <f>$AJ123*1000*$AN123*0.01*$K123*0.001</f>
        <v>41.334810000000004</v>
      </c>
      <c r="V123" s="123"/>
      <c r="W123" s="122"/>
      <c r="X123" s="122"/>
      <c r="Y123" s="122"/>
      <c r="Z123" s="122"/>
      <c r="AG123" s="124">
        <v>1.4</v>
      </c>
      <c r="AH123" s="1">
        <v>35.4</v>
      </c>
      <c r="AI123" s="1"/>
      <c r="AJ123" s="124">
        <f>IF(AH123/AG123&gt;0, AH123/AG123,"")</f>
        <v>25.285714285714285</v>
      </c>
      <c r="AK123" s="1" t="s">
        <v>5</v>
      </c>
      <c r="AL123" s="122"/>
      <c r="AM123" s="122"/>
      <c r="AN123" s="122">
        <v>3.08</v>
      </c>
      <c r="AO123" s="122">
        <v>18</v>
      </c>
      <c r="AP123" s="122">
        <v>15</v>
      </c>
      <c r="AQ123" s="122">
        <v>66</v>
      </c>
      <c r="AR123" s="122">
        <v>3</v>
      </c>
    </row>
    <row r="124" spans="1:44">
      <c r="A124" s="75">
        <v>123</v>
      </c>
      <c r="B124" s="107">
        <v>2006</v>
      </c>
      <c r="C124" s="117" t="s">
        <v>138</v>
      </c>
      <c r="D124" s="9" t="s">
        <v>108</v>
      </c>
      <c r="E124" s="9" t="s">
        <v>26</v>
      </c>
      <c r="F124" s="9" t="s">
        <v>30</v>
      </c>
      <c r="G124" s="4" t="s">
        <v>127</v>
      </c>
      <c r="H124" s="17">
        <v>38803</v>
      </c>
      <c r="I124" s="17"/>
      <c r="J124" s="18"/>
      <c r="K124" s="122"/>
      <c r="L124" s="122"/>
      <c r="M124" s="122"/>
      <c r="N124" s="122"/>
      <c r="O124" s="122"/>
      <c r="P124" s="122"/>
      <c r="Q124" s="122"/>
      <c r="R124" s="122"/>
      <c r="S124" s="122"/>
      <c r="T124" s="122"/>
      <c r="U124" s="122"/>
      <c r="V124" s="123"/>
      <c r="W124" s="122"/>
      <c r="X124" s="122"/>
      <c r="Y124" s="122"/>
      <c r="Z124" s="122"/>
      <c r="AG124" s="124">
        <v>1.4</v>
      </c>
      <c r="AH124" s="122"/>
      <c r="AI124" s="122"/>
      <c r="AJ124" s="122"/>
      <c r="AL124" s="122"/>
      <c r="AM124" s="122"/>
      <c r="AN124" s="122"/>
      <c r="AO124" s="122"/>
      <c r="AP124" s="122"/>
      <c r="AQ124" s="122"/>
      <c r="AR124" s="122"/>
    </row>
    <row r="125" spans="1:44">
      <c r="A125" s="75">
        <v>124</v>
      </c>
      <c r="B125" s="107">
        <v>2006</v>
      </c>
      <c r="C125" s="117" t="s">
        <v>138</v>
      </c>
      <c r="D125" s="9" t="s">
        <v>108</v>
      </c>
      <c r="E125" s="9" t="s">
        <v>25</v>
      </c>
      <c r="F125" s="9" t="s">
        <v>35</v>
      </c>
      <c r="G125" s="9" t="s">
        <v>36</v>
      </c>
      <c r="H125" s="17">
        <v>38840</v>
      </c>
      <c r="I125" s="17">
        <v>38841</v>
      </c>
      <c r="J125" s="18">
        <v>1</v>
      </c>
      <c r="K125" s="122"/>
      <c r="L125" s="122"/>
      <c r="M125" s="122"/>
      <c r="N125" s="122"/>
      <c r="O125" s="122"/>
      <c r="P125" s="122"/>
      <c r="Q125" s="122"/>
      <c r="R125" s="122"/>
      <c r="S125" s="122">
        <f>AJ125*AM125*AN125*0.01</f>
        <v>1189.2857142857142</v>
      </c>
      <c r="T125" s="122">
        <f>S125*0.4089</f>
        <v>486.29892857142852</v>
      </c>
      <c r="U125" s="122">
        <f>S125*0.0263</f>
        <v>31.278214285714284</v>
      </c>
      <c r="V125" s="123"/>
      <c r="W125" s="122"/>
      <c r="X125" s="122"/>
      <c r="Y125" s="122"/>
      <c r="Z125" s="122"/>
      <c r="AG125" s="124">
        <v>1.4</v>
      </c>
      <c r="AH125" s="1">
        <v>1.5</v>
      </c>
      <c r="AI125" s="1"/>
      <c r="AJ125" s="124">
        <f t="shared" ref="AJ125:AJ136" si="5">IF(AH125/AG125&gt;0, AH125/AG125,"")</f>
        <v>1.0714285714285714</v>
      </c>
      <c r="AK125" s="1" t="s">
        <v>67</v>
      </c>
      <c r="AL125" s="122"/>
      <c r="AM125" s="122">
        <v>3000</v>
      </c>
      <c r="AN125" s="122">
        <v>37</v>
      </c>
      <c r="AO125" s="122"/>
      <c r="AP125" s="122"/>
      <c r="AQ125" s="122"/>
      <c r="AR125" s="122"/>
    </row>
    <row r="126" spans="1:44">
      <c r="A126" s="75">
        <v>125</v>
      </c>
      <c r="B126" s="107">
        <v>2006</v>
      </c>
      <c r="C126" s="117" t="s">
        <v>138</v>
      </c>
      <c r="D126" s="9" t="s">
        <v>108</v>
      </c>
      <c r="E126" s="9" t="s">
        <v>17</v>
      </c>
      <c r="F126" s="9" t="s">
        <v>37</v>
      </c>
      <c r="G126" s="9" t="s">
        <v>48</v>
      </c>
      <c r="H126" s="17">
        <v>38842</v>
      </c>
      <c r="I126" s="17"/>
      <c r="J126" s="18"/>
      <c r="K126" s="122">
        <v>53.075000000000003</v>
      </c>
      <c r="L126" s="122">
        <v>23.815000000000001</v>
      </c>
      <c r="M126" s="125">
        <v>0.5</v>
      </c>
      <c r="N126" s="122">
        <v>442.38499999999999</v>
      </c>
      <c r="O126" s="122">
        <v>9.36</v>
      </c>
      <c r="P126" s="122">
        <f>AJ126*1000*AN126/100</f>
        <v>1100.0000000000002</v>
      </c>
      <c r="Q126" s="122">
        <f>N126*P126/1000</f>
        <v>486.62350000000009</v>
      </c>
      <c r="R126" s="122">
        <f>K126*P126/1000</f>
        <v>58.382500000000014</v>
      </c>
      <c r="S126" s="122"/>
      <c r="T126" s="122">
        <f>$AJ126*1000*$AN126*0.01*$N126*0.001</f>
        <v>486.62350000000015</v>
      </c>
      <c r="U126" s="122">
        <f>$AJ126*1000*$AN126*0.01*$K126*0.001</f>
        <v>58.382500000000014</v>
      </c>
      <c r="V126" s="123"/>
      <c r="W126" s="122"/>
      <c r="X126" s="122"/>
      <c r="Y126" s="122"/>
      <c r="Z126" s="122"/>
      <c r="AG126" s="124">
        <v>1.4</v>
      </c>
      <c r="AH126" s="1">
        <v>50</v>
      </c>
      <c r="AI126" s="1"/>
      <c r="AJ126" s="124">
        <f t="shared" si="5"/>
        <v>35.714285714285715</v>
      </c>
      <c r="AK126" s="1" t="s">
        <v>5</v>
      </c>
      <c r="AL126" s="122"/>
      <c r="AM126" s="122"/>
      <c r="AN126" s="122">
        <v>3.08</v>
      </c>
      <c r="AO126" s="122">
        <v>25</v>
      </c>
      <c r="AP126" s="122">
        <v>21</v>
      </c>
      <c r="AQ126" s="122">
        <v>93</v>
      </c>
      <c r="AR126" s="122">
        <v>4</v>
      </c>
    </row>
    <row r="127" spans="1:44">
      <c r="A127" s="75">
        <v>126</v>
      </c>
      <c r="B127" s="107">
        <v>2006</v>
      </c>
      <c r="C127" s="117" t="s">
        <v>138</v>
      </c>
      <c r="D127" s="9" t="s">
        <v>108</v>
      </c>
      <c r="E127" s="9" t="s">
        <v>25</v>
      </c>
      <c r="F127" s="9" t="s">
        <v>35</v>
      </c>
      <c r="G127" s="9" t="s">
        <v>36</v>
      </c>
      <c r="H127" s="17">
        <v>38877</v>
      </c>
      <c r="I127" s="17"/>
      <c r="J127" s="18">
        <v>3</v>
      </c>
      <c r="K127" s="122"/>
      <c r="L127" s="122"/>
      <c r="M127" s="122"/>
      <c r="N127" s="122"/>
      <c r="O127" s="122"/>
      <c r="P127" s="122"/>
      <c r="Q127" s="122"/>
      <c r="R127" s="122"/>
      <c r="S127" s="122">
        <f>AJ127*AM127*AN127*0.01</f>
        <v>634.28571428571433</v>
      </c>
      <c r="T127" s="122">
        <f>S127*0.4089</f>
        <v>259.35942857142857</v>
      </c>
      <c r="U127" s="122">
        <f>S127*0.0263</f>
        <v>16.681714285714289</v>
      </c>
      <c r="V127" s="123"/>
      <c r="W127" s="122"/>
      <c r="X127" s="122"/>
      <c r="Y127" s="122"/>
      <c r="Z127" s="122"/>
      <c r="AG127" s="124">
        <v>1.4</v>
      </c>
      <c r="AH127" s="1">
        <v>0.8</v>
      </c>
      <c r="AI127" s="1"/>
      <c r="AJ127" s="124">
        <f t="shared" si="5"/>
        <v>0.57142857142857151</v>
      </c>
      <c r="AK127" s="1" t="s">
        <v>67</v>
      </c>
      <c r="AL127" s="122"/>
      <c r="AM127" s="122">
        <v>3000</v>
      </c>
      <c r="AN127" s="122">
        <v>37</v>
      </c>
      <c r="AO127" s="122"/>
      <c r="AP127" s="122"/>
      <c r="AQ127" s="122"/>
      <c r="AR127" s="122"/>
    </row>
    <row r="128" spans="1:44">
      <c r="A128" s="75">
        <v>127</v>
      </c>
      <c r="B128" s="107">
        <v>2006</v>
      </c>
      <c r="C128" s="117" t="s">
        <v>138</v>
      </c>
      <c r="D128" s="9" t="s">
        <v>108</v>
      </c>
      <c r="E128" s="9" t="s">
        <v>17</v>
      </c>
      <c r="F128" s="9" t="s">
        <v>37</v>
      </c>
      <c r="G128" s="9" t="s">
        <v>48</v>
      </c>
      <c r="H128" s="17">
        <v>38881</v>
      </c>
      <c r="I128" s="17"/>
      <c r="J128" s="18"/>
      <c r="K128" s="122">
        <v>53.075000000000003</v>
      </c>
      <c r="L128" s="122">
        <v>23.815000000000001</v>
      </c>
      <c r="M128" s="125">
        <v>0.5</v>
      </c>
      <c r="N128" s="122">
        <v>442.38499999999999</v>
      </c>
      <c r="O128" s="122">
        <v>9.36</v>
      </c>
      <c r="P128" s="122">
        <f>AJ128*1000*AN128/100</f>
        <v>836.00000000000011</v>
      </c>
      <c r="Q128" s="122">
        <f>N128*P128/1000</f>
        <v>369.83386000000007</v>
      </c>
      <c r="R128" s="122">
        <f>K128*P128/1000</f>
        <v>44.370700000000014</v>
      </c>
      <c r="S128" s="122"/>
      <c r="T128" s="122">
        <f>$AJ128*1000*$AN128*0.01*$N128*0.001</f>
        <v>369.83386000000007</v>
      </c>
      <c r="U128" s="122">
        <f>$AJ128*1000*$AN128*0.01*$K128*0.001</f>
        <v>44.370700000000014</v>
      </c>
      <c r="V128" s="123"/>
      <c r="W128" s="122"/>
      <c r="X128" s="122"/>
      <c r="Y128" s="122"/>
      <c r="Z128" s="122"/>
      <c r="AG128" s="124">
        <v>1.4</v>
      </c>
      <c r="AH128" s="1">
        <v>38</v>
      </c>
      <c r="AI128" s="1"/>
      <c r="AJ128" s="124">
        <f t="shared" si="5"/>
        <v>27.142857142857146</v>
      </c>
      <c r="AK128" s="1" t="s">
        <v>5</v>
      </c>
      <c r="AL128" s="122"/>
      <c r="AM128" s="122"/>
      <c r="AN128" s="122">
        <v>3.08</v>
      </c>
      <c r="AO128" s="122">
        <v>19</v>
      </c>
      <c r="AP128" s="122">
        <v>16</v>
      </c>
      <c r="AQ128" s="122">
        <v>71</v>
      </c>
      <c r="AR128" s="122">
        <v>3</v>
      </c>
    </row>
    <row r="129" spans="1:44">
      <c r="A129" s="75">
        <v>128</v>
      </c>
      <c r="B129" s="107">
        <v>2006</v>
      </c>
      <c r="C129" s="117" t="s">
        <v>138</v>
      </c>
      <c r="D129" s="9" t="s">
        <v>108</v>
      </c>
      <c r="E129" s="9" t="s">
        <v>25</v>
      </c>
      <c r="F129" s="9" t="s">
        <v>35</v>
      </c>
      <c r="G129" s="9" t="s">
        <v>36</v>
      </c>
      <c r="H129" s="17">
        <v>38901</v>
      </c>
      <c r="I129" s="17"/>
      <c r="J129" s="18">
        <v>4</v>
      </c>
      <c r="K129" s="122"/>
      <c r="L129" s="122"/>
      <c r="M129" s="122"/>
      <c r="N129" s="122"/>
      <c r="O129" s="122"/>
      <c r="P129" s="122"/>
      <c r="Q129" s="122"/>
      <c r="R129" s="122"/>
      <c r="S129" s="122">
        <f>AJ129*AM129*AN129*0.01</f>
        <v>1030.714285714286</v>
      </c>
      <c r="T129" s="122">
        <f>S129*0.4089</f>
        <v>421.45907142857152</v>
      </c>
      <c r="U129" s="122">
        <f>S129*0.0263</f>
        <v>27.107785714285722</v>
      </c>
      <c r="V129" s="123"/>
      <c r="W129" s="122"/>
      <c r="X129" s="122"/>
      <c r="Y129" s="122"/>
      <c r="Z129" s="122"/>
      <c r="AG129" s="124">
        <v>1.4</v>
      </c>
      <c r="AH129" s="1">
        <v>1.3</v>
      </c>
      <c r="AI129" s="1"/>
      <c r="AJ129" s="124">
        <f t="shared" si="5"/>
        <v>0.92857142857142871</v>
      </c>
      <c r="AK129" s="1" t="s">
        <v>67</v>
      </c>
      <c r="AL129" s="122"/>
      <c r="AM129" s="122">
        <v>3000</v>
      </c>
      <c r="AN129" s="122">
        <v>37</v>
      </c>
      <c r="AO129" s="122"/>
      <c r="AP129" s="122"/>
      <c r="AQ129" s="122"/>
      <c r="AR129" s="122"/>
    </row>
    <row r="130" spans="1:44">
      <c r="A130" s="75">
        <v>129</v>
      </c>
      <c r="B130" s="107">
        <v>2006</v>
      </c>
      <c r="C130" s="117" t="s">
        <v>138</v>
      </c>
      <c r="D130" s="9" t="s">
        <v>108</v>
      </c>
      <c r="E130" s="9" t="s">
        <v>17</v>
      </c>
      <c r="F130" s="9" t="s">
        <v>37</v>
      </c>
      <c r="G130" s="9" t="s">
        <v>48</v>
      </c>
      <c r="H130" s="17">
        <v>38904</v>
      </c>
      <c r="I130" s="17"/>
      <c r="J130" s="18"/>
      <c r="K130" s="122">
        <v>53.075000000000003</v>
      </c>
      <c r="L130" s="122">
        <v>23.815000000000001</v>
      </c>
      <c r="M130" s="125">
        <v>0.5</v>
      </c>
      <c r="N130" s="122">
        <v>442.38499999999999</v>
      </c>
      <c r="O130" s="122">
        <v>9.36</v>
      </c>
      <c r="P130" s="122">
        <f>AJ130*1000*AN130/100</f>
        <v>1210</v>
      </c>
      <c r="Q130" s="122">
        <f>N130*P130/1000</f>
        <v>535.28584999999998</v>
      </c>
      <c r="R130" s="122">
        <f>K130*P130/1000</f>
        <v>64.220749999999995</v>
      </c>
      <c r="S130" s="122"/>
      <c r="T130" s="122">
        <f>$AJ130*1000*$AN130*0.01*$N130*0.001</f>
        <v>535.28584999999998</v>
      </c>
      <c r="U130" s="122">
        <f>$AJ130*1000*$AN130*0.01*$K130*0.001</f>
        <v>64.220749999999995</v>
      </c>
      <c r="V130" s="123"/>
      <c r="W130" s="122"/>
      <c r="X130" s="122"/>
      <c r="Y130" s="122"/>
      <c r="Z130" s="122"/>
      <c r="AG130" s="124">
        <v>1.4</v>
      </c>
      <c r="AH130" s="1">
        <v>55</v>
      </c>
      <c r="AI130" s="1"/>
      <c r="AJ130" s="124">
        <f t="shared" si="5"/>
        <v>39.285714285714285</v>
      </c>
      <c r="AK130" s="1" t="s">
        <v>5</v>
      </c>
      <c r="AL130" s="122"/>
      <c r="AM130" s="122"/>
      <c r="AN130" s="122">
        <v>3.08</v>
      </c>
      <c r="AO130" s="122">
        <v>28</v>
      </c>
      <c r="AP130" s="122">
        <v>24</v>
      </c>
      <c r="AQ130" s="122">
        <v>102</v>
      </c>
      <c r="AR130" s="122">
        <v>4</v>
      </c>
    </row>
    <row r="131" spans="1:44">
      <c r="A131" s="75">
        <v>130</v>
      </c>
      <c r="B131" s="107">
        <v>2006</v>
      </c>
      <c r="C131" s="117" t="s">
        <v>138</v>
      </c>
      <c r="D131" s="9" t="s">
        <v>108</v>
      </c>
      <c r="E131" s="9" t="s">
        <v>25</v>
      </c>
      <c r="F131" s="9" t="s">
        <v>35</v>
      </c>
      <c r="G131" s="9" t="s">
        <v>36</v>
      </c>
      <c r="H131" s="17">
        <v>38921</v>
      </c>
      <c r="I131" s="17">
        <v>38922</v>
      </c>
      <c r="J131" s="18">
        <v>5</v>
      </c>
      <c r="K131" s="122"/>
      <c r="L131" s="122"/>
      <c r="M131" s="122"/>
      <c r="N131" s="122"/>
      <c r="O131" s="122"/>
      <c r="P131" s="122"/>
      <c r="Q131" s="122"/>
      <c r="R131" s="122"/>
      <c r="S131" s="122">
        <f>AJ131*AM131*AN131*0.01</f>
        <v>634.28571428571433</v>
      </c>
      <c r="T131" s="122">
        <f>S131*0.4089</f>
        <v>259.35942857142857</v>
      </c>
      <c r="U131" s="122">
        <f>S131*0.0263</f>
        <v>16.681714285714289</v>
      </c>
      <c r="V131" s="123"/>
      <c r="W131" s="122"/>
      <c r="X131" s="122"/>
      <c r="Y131" s="122"/>
      <c r="Z131" s="122"/>
      <c r="AG131" s="124">
        <v>1.4</v>
      </c>
      <c r="AH131" s="1">
        <v>0.8</v>
      </c>
      <c r="AI131" s="1"/>
      <c r="AJ131" s="124">
        <f t="shared" si="5"/>
        <v>0.57142857142857151</v>
      </c>
      <c r="AK131" s="1" t="s">
        <v>67</v>
      </c>
      <c r="AL131" s="122"/>
      <c r="AM131" s="122">
        <v>3000</v>
      </c>
      <c r="AN131" s="122">
        <v>37</v>
      </c>
      <c r="AO131" s="122"/>
      <c r="AP131" s="122"/>
      <c r="AQ131" s="122"/>
      <c r="AR131" s="122"/>
    </row>
    <row r="132" spans="1:44">
      <c r="A132" s="75">
        <v>131</v>
      </c>
      <c r="B132" s="107">
        <v>2006</v>
      </c>
      <c r="C132" s="117" t="s">
        <v>138</v>
      </c>
      <c r="D132" s="9" t="s">
        <v>108</v>
      </c>
      <c r="E132" s="9" t="s">
        <v>17</v>
      </c>
      <c r="F132" s="9" t="s">
        <v>37</v>
      </c>
      <c r="G132" s="9" t="s">
        <v>48</v>
      </c>
      <c r="H132" s="17">
        <v>38931</v>
      </c>
      <c r="I132" s="17"/>
      <c r="J132" s="18"/>
      <c r="K132" s="122">
        <v>53.075000000000003</v>
      </c>
      <c r="L132" s="122">
        <v>23.815000000000001</v>
      </c>
      <c r="M132" s="125">
        <v>0.5</v>
      </c>
      <c r="N132" s="122">
        <v>442.38499999999999</v>
      </c>
      <c r="O132" s="122">
        <v>9.36</v>
      </c>
      <c r="P132" s="122">
        <f>AJ132*1000*AN132/100</f>
        <v>1320.0000000000002</v>
      </c>
      <c r="Q132" s="122">
        <f>N132*P132/1000</f>
        <v>583.94820000000004</v>
      </c>
      <c r="R132" s="122">
        <f>K132*P132/1000</f>
        <v>70.059000000000012</v>
      </c>
      <c r="S132" s="122"/>
      <c r="T132" s="122">
        <f>$AJ132*1000*$AN132*0.01*$N132*0.001</f>
        <v>583.94820000000004</v>
      </c>
      <c r="U132" s="122">
        <f>$AJ132*1000*$AN132*0.01*$K132*0.001</f>
        <v>70.059000000000012</v>
      </c>
      <c r="V132" s="123"/>
      <c r="W132" s="122"/>
      <c r="X132" s="122"/>
      <c r="Y132" s="122"/>
      <c r="Z132" s="122"/>
      <c r="AG132" s="124">
        <v>1.4</v>
      </c>
      <c r="AH132" s="1">
        <v>60</v>
      </c>
      <c r="AI132" s="1"/>
      <c r="AJ132" s="124">
        <f t="shared" si="5"/>
        <v>42.857142857142861</v>
      </c>
      <c r="AK132" s="1" t="s">
        <v>5</v>
      </c>
      <c r="AL132" s="122"/>
      <c r="AM132" s="122"/>
      <c r="AN132" s="122">
        <v>3.08</v>
      </c>
      <c r="AO132" s="122">
        <v>30</v>
      </c>
      <c r="AP132" s="122">
        <v>26</v>
      </c>
      <c r="AQ132" s="122">
        <v>111</v>
      </c>
      <c r="AR132" s="122">
        <v>4</v>
      </c>
    </row>
    <row r="133" spans="1:44">
      <c r="A133" s="75">
        <v>132</v>
      </c>
      <c r="B133" s="107">
        <v>2006</v>
      </c>
      <c r="C133" s="117" t="s">
        <v>138</v>
      </c>
      <c r="D133" s="9" t="s">
        <v>108</v>
      </c>
      <c r="E133" s="9" t="s">
        <v>25</v>
      </c>
      <c r="F133" s="9" t="s">
        <v>35</v>
      </c>
      <c r="G133" s="9" t="s">
        <v>36</v>
      </c>
      <c r="H133" s="17">
        <v>38961</v>
      </c>
      <c r="I133" s="17"/>
      <c r="J133" s="18">
        <v>6</v>
      </c>
      <c r="K133" s="122"/>
      <c r="L133" s="122"/>
      <c r="M133" s="122"/>
      <c r="N133" s="122"/>
      <c r="O133" s="122"/>
      <c r="P133" s="122"/>
      <c r="Q133" s="122"/>
      <c r="R133" s="122"/>
      <c r="S133" s="122">
        <f>AJ133*AM133*AN133*0.01</f>
        <v>2775</v>
      </c>
      <c r="T133" s="122">
        <f>S133*0.4089</f>
        <v>1134.6975</v>
      </c>
      <c r="U133" s="122">
        <f>S133*0.0263</f>
        <v>72.982500000000002</v>
      </c>
      <c r="V133" s="123"/>
      <c r="W133" s="122"/>
      <c r="X133" s="122"/>
      <c r="Y133" s="122"/>
      <c r="Z133" s="122"/>
      <c r="AG133" s="124">
        <v>1.4</v>
      </c>
      <c r="AH133" s="1">
        <v>3.5</v>
      </c>
      <c r="AI133" s="1"/>
      <c r="AJ133" s="124">
        <f t="shared" si="5"/>
        <v>2.5</v>
      </c>
      <c r="AK133" s="1" t="s">
        <v>67</v>
      </c>
      <c r="AL133" s="122"/>
      <c r="AM133" s="122">
        <v>3000</v>
      </c>
      <c r="AN133" s="122">
        <v>37</v>
      </c>
      <c r="AO133" s="122"/>
      <c r="AP133" s="122"/>
      <c r="AQ133" s="122"/>
      <c r="AR133" s="122"/>
    </row>
    <row r="134" spans="1:44">
      <c r="A134" s="75">
        <v>133</v>
      </c>
      <c r="B134" s="107">
        <v>2006</v>
      </c>
      <c r="C134" s="117" t="s">
        <v>138</v>
      </c>
      <c r="D134" s="9" t="s">
        <v>108</v>
      </c>
      <c r="E134" s="9" t="s">
        <v>23</v>
      </c>
      <c r="F134" s="9" t="s">
        <v>38</v>
      </c>
      <c r="G134" s="9" t="s">
        <v>50</v>
      </c>
      <c r="H134" s="17">
        <v>38968</v>
      </c>
      <c r="I134" s="17"/>
      <c r="J134" s="18"/>
      <c r="K134" s="122"/>
      <c r="L134" s="122"/>
      <c r="M134" s="122"/>
      <c r="N134" s="122"/>
      <c r="O134" s="122"/>
      <c r="P134" s="122"/>
      <c r="Q134" s="122"/>
      <c r="R134" s="122"/>
      <c r="S134" s="122"/>
      <c r="T134" s="122"/>
      <c r="U134" s="122"/>
      <c r="V134" s="123"/>
      <c r="W134" s="122"/>
      <c r="X134" s="122"/>
      <c r="Y134" s="122"/>
      <c r="Z134" s="122"/>
      <c r="AG134" s="124">
        <v>1.4</v>
      </c>
      <c r="AH134" s="1">
        <v>30</v>
      </c>
      <c r="AI134" s="1"/>
      <c r="AJ134" s="124">
        <f t="shared" si="5"/>
        <v>21.428571428571431</v>
      </c>
      <c r="AK134" s="1" t="s">
        <v>3</v>
      </c>
      <c r="AL134" s="122"/>
      <c r="AM134" s="122"/>
      <c r="AN134" s="122"/>
      <c r="AO134" s="122"/>
      <c r="AP134" s="122"/>
      <c r="AQ134" s="122"/>
      <c r="AR134" s="122"/>
    </row>
    <row r="135" spans="1:44">
      <c r="A135" s="75">
        <v>134</v>
      </c>
      <c r="B135" s="107">
        <v>2006</v>
      </c>
      <c r="C135" s="117" t="s">
        <v>138</v>
      </c>
      <c r="D135" s="9" t="s">
        <v>108</v>
      </c>
      <c r="E135" s="9" t="s">
        <v>17</v>
      </c>
      <c r="F135" s="9" t="s">
        <v>37</v>
      </c>
      <c r="G135" s="9" t="s">
        <v>48</v>
      </c>
      <c r="H135" s="17">
        <v>39009</v>
      </c>
      <c r="I135" s="17"/>
      <c r="J135" s="18"/>
      <c r="K135" s="122">
        <v>53.075000000000003</v>
      </c>
      <c r="L135" s="122">
        <v>23.815000000000001</v>
      </c>
      <c r="M135" s="125">
        <v>0.5</v>
      </c>
      <c r="N135" s="122">
        <v>442.38499999999999</v>
      </c>
      <c r="O135" s="122">
        <v>9.36</v>
      </c>
      <c r="P135" s="122">
        <f>AJ135*1000*AN135/100</f>
        <v>880</v>
      </c>
      <c r="Q135" s="122">
        <f>N135*P135/1000</f>
        <v>389.29879999999997</v>
      </c>
      <c r="R135" s="122">
        <f>K135*P135/1000</f>
        <v>46.706000000000003</v>
      </c>
      <c r="S135" s="122"/>
      <c r="T135" s="122">
        <f>$AJ135*1000*$AN135*0.01*$N135*0.001</f>
        <v>389.29879999999997</v>
      </c>
      <c r="U135" s="122">
        <f>$AJ135*1000*$AN135*0.01*$K135*0.001</f>
        <v>46.706000000000003</v>
      </c>
      <c r="V135" s="123"/>
      <c r="W135" s="122"/>
      <c r="X135" s="122"/>
      <c r="Y135" s="122"/>
      <c r="Z135" s="122"/>
      <c r="AG135" s="124">
        <v>1.4</v>
      </c>
      <c r="AH135" s="1">
        <v>40</v>
      </c>
      <c r="AI135" s="1"/>
      <c r="AJ135" s="124">
        <f t="shared" si="5"/>
        <v>28.571428571428573</v>
      </c>
      <c r="AK135" s="1" t="s">
        <v>5</v>
      </c>
      <c r="AL135" s="122"/>
      <c r="AM135" s="122"/>
      <c r="AN135" s="122">
        <v>3.08</v>
      </c>
      <c r="AO135" s="122">
        <v>20</v>
      </c>
      <c r="AP135" s="122">
        <v>17</v>
      </c>
      <c r="AQ135" s="122">
        <v>74</v>
      </c>
      <c r="AR135" s="122">
        <v>3</v>
      </c>
    </row>
    <row r="136" spans="1:44">
      <c r="A136" s="75">
        <v>135</v>
      </c>
      <c r="B136" s="107">
        <v>2006</v>
      </c>
      <c r="C136" s="117" t="s">
        <v>138</v>
      </c>
      <c r="D136" s="9" t="s">
        <v>108</v>
      </c>
      <c r="E136" s="9" t="s">
        <v>17</v>
      </c>
      <c r="F136" s="9" t="s">
        <v>37</v>
      </c>
      <c r="G136" s="9" t="s">
        <v>48</v>
      </c>
      <c r="H136" s="17">
        <v>39062</v>
      </c>
      <c r="I136" s="17"/>
      <c r="J136" s="18"/>
      <c r="K136" s="122">
        <v>53.075000000000003</v>
      </c>
      <c r="L136" s="122">
        <v>23.815000000000001</v>
      </c>
      <c r="M136" s="125">
        <v>0.5</v>
      </c>
      <c r="N136" s="122">
        <v>442.38499999999999</v>
      </c>
      <c r="O136" s="122">
        <v>9.36</v>
      </c>
      <c r="P136" s="122">
        <f>AJ136*1000*AN136/100</f>
        <v>1320.0000000000002</v>
      </c>
      <c r="Q136" s="122">
        <f>N136*P136/1000</f>
        <v>583.94820000000004</v>
      </c>
      <c r="R136" s="122">
        <f>K136*P136/1000</f>
        <v>70.059000000000012</v>
      </c>
      <c r="S136" s="122"/>
      <c r="T136" s="122">
        <f>$AJ136*1000*$AN136*0.01*$N136*0.001</f>
        <v>583.94820000000004</v>
      </c>
      <c r="U136" s="122">
        <f>$AJ136*1000*$AN136*0.01*$K136*0.001</f>
        <v>70.059000000000012</v>
      </c>
      <c r="V136" s="123"/>
      <c r="W136" s="122"/>
      <c r="X136" s="122"/>
      <c r="Y136" s="122"/>
      <c r="Z136" s="122"/>
      <c r="AG136" s="124">
        <v>1.4</v>
      </c>
      <c r="AH136" s="1">
        <v>60</v>
      </c>
      <c r="AI136" s="1"/>
      <c r="AJ136" s="124">
        <f t="shared" si="5"/>
        <v>42.857142857142861</v>
      </c>
      <c r="AK136" s="1" t="s">
        <v>5</v>
      </c>
      <c r="AL136" s="122"/>
      <c r="AM136" s="122"/>
      <c r="AN136" s="122">
        <v>3.08</v>
      </c>
      <c r="AO136" s="122">
        <v>30</v>
      </c>
      <c r="AP136" s="122">
        <v>26</v>
      </c>
      <c r="AQ136" s="122">
        <v>111</v>
      </c>
      <c r="AR136" s="122">
        <v>4</v>
      </c>
    </row>
    <row r="137" spans="1:44">
      <c r="A137" s="75">
        <v>136</v>
      </c>
      <c r="B137" s="107">
        <v>2006</v>
      </c>
      <c r="C137" s="117" t="s">
        <v>138</v>
      </c>
      <c r="D137" s="9" t="s">
        <v>108</v>
      </c>
      <c r="E137" s="9" t="s">
        <v>25</v>
      </c>
      <c r="F137" s="9" t="s">
        <v>29</v>
      </c>
      <c r="G137" s="9" t="s">
        <v>47</v>
      </c>
      <c r="H137" s="17">
        <v>38854</v>
      </c>
      <c r="I137" s="17">
        <v>38861</v>
      </c>
      <c r="J137" s="18">
        <v>2</v>
      </c>
      <c r="K137" s="122"/>
      <c r="L137" s="122"/>
      <c r="M137" s="122"/>
      <c r="N137" s="122"/>
      <c r="O137" s="122"/>
      <c r="P137" s="122"/>
      <c r="Q137" s="122"/>
      <c r="R137" s="122"/>
      <c r="S137" s="122">
        <f>AJ137*AM137*AL137</f>
        <v>675.00000000000011</v>
      </c>
      <c r="T137" s="122">
        <f>$S137*0.4089</f>
        <v>276.00750000000005</v>
      </c>
      <c r="U137" s="122">
        <f>$S137*0.0263</f>
        <v>17.752500000000005</v>
      </c>
      <c r="V137" s="123"/>
      <c r="W137" s="122"/>
      <c r="X137" s="122"/>
      <c r="Y137" s="122"/>
      <c r="Z137" s="122"/>
      <c r="AG137" s="124">
        <v>1.4</v>
      </c>
      <c r="AH137" s="124">
        <v>90</v>
      </c>
      <c r="AI137" s="124"/>
      <c r="AJ137" s="124">
        <f>AH137/AG137</f>
        <v>64.285714285714292</v>
      </c>
      <c r="AK137" s="1" t="s">
        <v>66</v>
      </c>
      <c r="AL137" s="122">
        <v>7</v>
      </c>
      <c r="AM137" s="122">
        <v>1.5</v>
      </c>
      <c r="AN137" s="122"/>
      <c r="AO137" s="122"/>
      <c r="AP137" s="122"/>
      <c r="AQ137" s="122"/>
      <c r="AR137" s="122"/>
    </row>
    <row r="138" spans="1:44">
      <c r="A138" s="75">
        <v>137</v>
      </c>
      <c r="B138" s="107">
        <v>2006</v>
      </c>
      <c r="C138" s="117" t="s">
        <v>138</v>
      </c>
      <c r="D138" s="9" t="s">
        <v>108</v>
      </c>
      <c r="E138" s="9" t="s">
        <v>25</v>
      </c>
      <c r="F138" s="9" t="s">
        <v>35</v>
      </c>
      <c r="G138" s="9" t="s">
        <v>36</v>
      </c>
      <c r="H138" s="17">
        <v>39000</v>
      </c>
      <c r="I138" s="17"/>
      <c r="J138" s="18">
        <v>7</v>
      </c>
      <c r="K138" s="122"/>
      <c r="L138" s="122"/>
      <c r="M138" s="122"/>
      <c r="N138" s="122"/>
      <c r="O138" s="122"/>
      <c r="P138" s="122"/>
      <c r="Q138" s="122"/>
      <c r="R138" s="122"/>
      <c r="S138" s="122">
        <f>AJ138*AM138*AN138*0.01</f>
        <v>1950.4285714285716</v>
      </c>
      <c r="T138" s="122">
        <f>S138*0.4089</f>
        <v>797.53024285714287</v>
      </c>
      <c r="U138" s="122">
        <f>S138*0.0263</f>
        <v>51.29627142857143</v>
      </c>
      <c r="V138" s="123"/>
      <c r="W138" s="122"/>
      <c r="X138" s="122"/>
      <c r="Y138" s="122"/>
      <c r="Z138" s="122"/>
      <c r="AG138" s="124">
        <v>1.4</v>
      </c>
      <c r="AH138" s="1">
        <v>12</v>
      </c>
      <c r="AI138" s="1"/>
      <c r="AJ138" s="124">
        <f>IF(AH138/AG138&gt;0, AH138/AG138,"")</f>
        <v>8.5714285714285712</v>
      </c>
      <c r="AK138" s="137" t="s">
        <v>70</v>
      </c>
      <c r="AL138" s="122"/>
      <c r="AM138" s="122">
        <v>615</v>
      </c>
      <c r="AN138" s="122">
        <v>37</v>
      </c>
      <c r="AO138" s="122"/>
      <c r="AP138" s="122"/>
      <c r="AQ138" s="122"/>
      <c r="AR138" s="122"/>
    </row>
    <row r="139" spans="1:44">
      <c r="A139" s="75">
        <v>138</v>
      </c>
      <c r="B139" s="107">
        <v>2006</v>
      </c>
      <c r="C139" s="118" t="s">
        <v>139</v>
      </c>
      <c r="D139" s="9" t="s">
        <v>108</v>
      </c>
      <c r="E139" s="9" t="s">
        <v>17</v>
      </c>
      <c r="F139" s="9" t="s">
        <v>37</v>
      </c>
      <c r="G139" s="9" t="s">
        <v>48</v>
      </c>
      <c r="H139" s="17">
        <v>38800</v>
      </c>
      <c r="I139" s="17"/>
      <c r="J139" s="18"/>
      <c r="K139" s="122">
        <v>53.075000000000003</v>
      </c>
      <c r="L139" s="122">
        <v>23.815000000000001</v>
      </c>
      <c r="M139" s="125">
        <v>0.5</v>
      </c>
      <c r="N139" s="122">
        <v>442.38499999999999</v>
      </c>
      <c r="O139" s="122">
        <v>9.36</v>
      </c>
      <c r="P139" s="122">
        <f>AJ139*1000*AN139/100</f>
        <v>779.40598802395209</v>
      </c>
      <c r="Q139" s="122">
        <f>N139*P139/1000</f>
        <v>344.79751801197602</v>
      </c>
      <c r="R139" s="122">
        <f>K139*P139/1000</f>
        <v>41.366972814371259</v>
      </c>
      <c r="S139" s="122"/>
      <c r="T139" s="122">
        <f>$AJ139*1000*$AN139*0.01*$N139*0.001</f>
        <v>344.79751801197602</v>
      </c>
      <c r="U139" s="122">
        <f>$AJ139*1000*$AN139*0.01*$K139*0.001</f>
        <v>41.366972814371259</v>
      </c>
      <c r="V139" s="123"/>
      <c r="W139" s="122"/>
      <c r="X139" s="122"/>
      <c r="Y139" s="122"/>
      <c r="Z139" s="122"/>
      <c r="AG139" s="124">
        <v>3.34</v>
      </c>
      <c r="AH139" s="1">
        <v>84.52</v>
      </c>
      <c r="AI139" s="1"/>
      <c r="AJ139" s="124">
        <f>IF(AH139/AG139&gt;0, AH139/AG139,"")</f>
        <v>25.305389221556887</v>
      </c>
      <c r="AK139" s="1" t="s">
        <v>5</v>
      </c>
      <c r="AL139" s="122"/>
      <c r="AM139" s="122"/>
      <c r="AN139" s="122">
        <v>3.08</v>
      </c>
      <c r="AO139" s="122">
        <v>17.713772455089821</v>
      </c>
      <c r="AP139" s="122">
        <v>15.183233532934132</v>
      </c>
      <c r="AQ139" s="122">
        <v>65.794011976047912</v>
      </c>
      <c r="AR139" s="122">
        <v>2.5305389221556887</v>
      </c>
    </row>
    <row r="140" spans="1:44">
      <c r="A140" s="75">
        <v>139</v>
      </c>
      <c r="B140" s="107">
        <v>2006</v>
      </c>
      <c r="C140" s="118" t="s">
        <v>139</v>
      </c>
      <c r="D140" s="9" t="s">
        <v>108</v>
      </c>
      <c r="E140" s="9" t="s">
        <v>26</v>
      </c>
      <c r="F140" s="9" t="s">
        <v>30</v>
      </c>
      <c r="G140" s="4" t="s">
        <v>127</v>
      </c>
      <c r="H140" s="17">
        <v>38803</v>
      </c>
      <c r="I140" s="17"/>
      <c r="J140" s="18"/>
      <c r="K140" s="122"/>
      <c r="L140" s="122"/>
      <c r="M140" s="122"/>
      <c r="N140" s="122"/>
      <c r="O140" s="122"/>
      <c r="P140" s="122"/>
      <c r="Q140" s="122"/>
      <c r="R140" s="122"/>
      <c r="S140" s="122"/>
      <c r="T140" s="122"/>
      <c r="U140" s="122"/>
      <c r="V140" s="123"/>
      <c r="W140" s="122"/>
      <c r="X140" s="122"/>
      <c r="Y140" s="122"/>
      <c r="Z140" s="122"/>
      <c r="AG140" s="124">
        <v>3.34</v>
      </c>
      <c r="AH140" s="122"/>
      <c r="AI140" s="122"/>
      <c r="AJ140" s="122"/>
      <c r="AL140" s="122"/>
      <c r="AM140" s="122"/>
      <c r="AN140" s="122"/>
      <c r="AO140" s="122"/>
      <c r="AP140" s="122"/>
      <c r="AQ140" s="122"/>
      <c r="AR140" s="122"/>
    </row>
    <row r="141" spans="1:44">
      <c r="A141" s="75">
        <v>140</v>
      </c>
      <c r="B141" s="107">
        <v>2006</v>
      </c>
      <c r="C141" s="118" t="s">
        <v>139</v>
      </c>
      <c r="D141" s="9" t="s">
        <v>108</v>
      </c>
      <c r="E141" s="9" t="s">
        <v>24</v>
      </c>
      <c r="F141" s="9" t="s">
        <v>42</v>
      </c>
      <c r="G141" s="9"/>
      <c r="H141" s="17">
        <v>38803</v>
      </c>
      <c r="I141" s="17"/>
      <c r="J141" s="18"/>
      <c r="K141" s="122"/>
      <c r="L141" s="122"/>
      <c r="M141" s="122"/>
      <c r="N141" s="122"/>
      <c r="O141" s="122"/>
      <c r="P141" s="122"/>
      <c r="Q141" s="122"/>
      <c r="R141" s="122"/>
      <c r="S141" s="122"/>
      <c r="T141" s="122"/>
      <c r="U141" s="122"/>
      <c r="V141" s="123"/>
      <c r="W141" s="122"/>
      <c r="X141" s="122"/>
      <c r="Y141" s="122"/>
      <c r="Z141" s="122"/>
      <c r="AG141" s="124">
        <v>3.34</v>
      </c>
      <c r="AH141" s="122"/>
      <c r="AI141" s="122"/>
      <c r="AJ141" s="122"/>
      <c r="AL141" s="122"/>
      <c r="AM141" s="122"/>
      <c r="AN141" s="122"/>
      <c r="AO141" s="122"/>
      <c r="AP141" s="122"/>
      <c r="AQ141" s="122"/>
      <c r="AR141" s="122"/>
    </row>
    <row r="142" spans="1:44">
      <c r="A142" s="75">
        <v>141</v>
      </c>
      <c r="B142" s="107">
        <v>2006</v>
      </c>
      <c r="C142" s="118" t="s">
        <v>139</v>
      </c>
      <c r="D142" s="9" t="s">
        <v>108</v>
      </c>
      <c r="E142" s="9" t="s">
        <v>23</v>
      </c>
      <c r="F142" s="9" t="s">
        <v>38</v>
      </c>
      <c r="G142" s="9" t="s">
        <v>50</v>
      </c>
      <c r="H142" s="17">
        <v>38803</v>
      </c>
      <c r="I142" s="17"/>
      <c r="J142" s="18"/>
      <c r="K142" s="122"/>
      <c r="L142" s="122"/>
      <c r="M142" s="122"/>
      <c r="N142" s="122"/>
      <c r="O142" s="122"/>
      <c r="P142" s="122"/>
      <c r="Q142" s="122"/>
      <c r="R142" s="122"/>
      <c r="S142" s="122"/>
      <c r="T142" s="122"/>
      <c r="U142" s="122"/>
      <c r="V142" s="123"/>
      <c r="W142" s="122"/>
      <c r="X142" s="122"/>
      <c r="Y142" s="122"/>
      <c r="Z142" s="122"/>
      <c r="AG142" s="124">
        <v>3.34</v>
      </c>
      <c r="AH142" s="1">
        <v>66.8</v>
      </c>
      <c r="AI142" s="1"/>
      <c r="AJ142" s="124">
        <f t="shared" ref="AJ142:AJ156" si="6">IF(AH142/AG142&gt;0, AH142/AG142,"")</f>
        <v>20</v>
      </c>
      <c r="AK142" s="1" t="s">
        <v>3</v>
      </c>
      <c r="AL142" s="122"/>
      <c r="AM142" s="122"/>
      <c r="AN142" s="122"/>
      <c r="AO142" s="122"/>
      <c r="AP142" s="122"/>
      <c r="AQ142" s="122"/>
      <c r="AR142" s="122"/>
    </row>
    <row r="143" spans="1:44">
      <c r="A143" s="75">
        <v>142</v>
      </c>
      <c r="B143" s="107">
        <v>2006</v>
      </c>
      <c r="C143" s="118" t="s">
        <v>139</v>
      </c>
      <c r="D143" s="9" t="s">
        <v>108</v>
      </c>
      <c r="E143" s="9" t="s">
        <v>25</v>
      </c>
      <c r="F143" s="9" t="s">
        <v>35</v>
      </c>
      <c r="G143" s="9" t="s">
        <v>36</v>
      </c>
      <c r="H143" s="17">
        <v>38840</v>
      </c>
      <c r="I143" s="17">
        <v>38841</v>
      </c>
      <c r="J143" s="18">
        <v>1</v>
      </c>
      <c r="K143" s="122"/>
      <c r="L143" s="122"/>
      <c r="M143" s="122"/>
      <c r="N143" s="122"/>
      <c r="O143" s="122"/>
      <c r="P143" s="122"/>
      <c r="Q143" s="122"/>
      <c r="R143" s="122"/>
      <c r="S143" s="122">
        <f>AJ143*AM143*AN143*0.01</f>
        <v>581.5868263473053</v>
      </c>
      <c r="T143" s="122">
        <f>$S143*0.4089</f>
        <v>237.81085329341312</v>
      </c>
      <c r="U143" s="122">
        <f>$S143*0.0263</f>
        <v>15.295733532934129</v>
      </c>
      <c r="V143" s="123"/>
      <c r="W143" s="122"/>
      <c r="X143" s="122"/>
      <c r="Y143" s="122"/>
      <c r="Z143" s="122"/>
      <c r="AG143" s="124">
        <v>3.34</v>
      </c>
      <c r="AH143" s="1">
        <v>1.75</v>
      </c>
      <c r="AI143" s="1"/>
      <c r="AJ143" s="124">
        <f t="shared" si="6"/>
        <v>0.5239520958083832</v>
      </c>
      <c r="AK143" s="1" t="s">
        <v>67</v>
      </c>
      <c r="AL143" s="122"/>
      <c r="AM143" s="122">
        <v>3000</v>
      </c>
      <c r="AN143" s="122">
        <v>37</v>
      </c>
      <c r="AO143" s="122"/>
      <c r="AP143" s="122"/>
      <c r="AQ143" s="122"/>
      <c r="AR143" s="122"/>
    </row>
    <row r="144" spans="1:44">
      <c r="A144" s="75">
        <v>143</v>
      </c>
      <c r="B144" s="107">
        <v>2006</v>
      </c>
      <c r="C144" s="118" t="s">
        <v>139</v>
      </c>
      <c r="D144" s="9" t="s">
        <v>108</v>
      </c>
      <c r="E144" s="9" t="s">
        <v>17</v>
      </c>
      <c r="F144" s="9" t="s">
        <v>37</v>
      </c>
      <c r="G144" s="9" t="s">
        <v>48</v>
      </c>
      <c r="H144" s="17">
        <v>38842</v>
      </c>
      <c r="I144" s="17"/>
      <c r="J144" s="18"/>
      <c r="K144" s="122">
        <v>53.075000000000003</v>
      </c>
      <c r="L144" s="122">
        <v>23.815000000000001</v>
      </c>
      <c r="M144" s="125">
        <v>0.5</v>
      </c>
      <c r="N144" s="122">
        <v>442.38499999999999</v>
      </c>
      <c r="O144" s="122">
        <v>9.36</v>
      </c>
      <c r="P144" s="122">
        <f>AJ144*1000*AN144/100</f>
        <v>691.61676646706587</v>
      </c>
      <c r="Q144" s="122">
        <f>N144*P144/1000</f>
        <v>305.96088323353297</v>
      </c>
      <c r="R144" s="122">
        <f>K144*P144/1000</f>
        <v>36.707559880239522</v>
      </c>
      <c r="S144" s="122"/>
      <c r="T144" s="122">
        <f>$AJ144*1000*$AN144*0.01*$N144*0.001</f>
        <v>305.96088323353297</v>
      </c>
      <c r="U144" s="122">
        <f>$AJ144*1000*$AN144*0.01*$K144*0.001</f>
        <v>36.707559880239529</v>
      </c>
      <c r="V144" s="123"/>
      <c r="W144" s="122"/>
      <c r="X144" s="122"/>
      <c r="Y144" s="122"/>
      <c r="Z144" s="122"/>
      <c r="AG144" s="124">
        <v>3.34</v>
      </c>
      <c r="AH144" s="1">
        <v>75</v>
      </c>
      <c r="AI144" s="1"/>
      <c r="AJ144" s="124">
        <f t="shared" si="6"/>
        <v>22.455089820359284</v>
      </c>
      <c r="AK144" s="1" t="s">
        <v>5</v>
      </c>
      <c r="AL144" s="122"/>
      <c r="AM144" s="122"/>
      <c r="AN144" s="122">
        <v>3.08</v>
      </c>
      <c r="AO144" s="122">
        <v>15.718562874251498</v>
      </c>
      <c r="AP144" s="122">
        <v>13.473053892215569</v>
      </c>
      <c r="AQ144" s="122">
        <v>58.383233532934135</v>
      </c>
      <c r="AR144" s="122">
        <v>2.2455089820359282</v>
      </c>
    </row>
    <row r="145" spans="1:44">
      <c r="A145" s="75">
        <v>144</v>
      </c>
      <c r="B145" s="107">
        <v>2006</v>
      </c>
      <c r="C145" s="118" t="s">
        <v>139</v>
      </c>
      <c r="D145" s="9" t="s">
        <v>108</v>
      </c>
      <c r="E145" s="9" t="s">
        <v>25</v>
      </c>
      <c r="F145" s="9" t="s">
        <v>35</v>
      </c>
      <c r="G145" s="9" t="s">
        <v>36</v>
      </c>
      <c r="H145" s="17">
        <v>38875</v>
      </c>
      <c r="I145" s="17">
        <v>38877</v>
      </c>
      <c r="J145" s="18">
        <v>2</v>
      </c>
      <c r="K145" s="122"/>
      <c r="L145" s="122"/>
      <c r="M145" s="122"/>
      <c r="N145" s="122"/>
      <c r="O145" s="122"/>
      <c r="P145" s="122"/>
      <c r="Q145" s="122"/>
      <c r="R145" s="122"/>
      <c r="S145" s="122">
        <f>AJ145*AM145*AN145*0.01</f>
        <v>913.92215568862287</v>
      </c>
      <c r="T145" s="122">
        <f>$S145*0.4089</f>
        <v>373.70276946107788</v>
      </c>
      <c r="U145" s="122">
        <f>$S145*0.0263</f>
        <v>24.036152694610781</v>
      </c>
      <c r="V145" s="123"/>
      <c r="W145" s="122"/>
      <c r="X145" s="122"/>
      <c r="Y145" s="122"/>
      <c r="Z145" s="122"/>
      <c r="AG145" s="124">
        <v>3.34</v>
      </c>
      <c r="AH145" s="1">
        <v>2.75</v>
      </c>
      <c r="AI145" s="1"/>
      <c r="AJ145" s="124">
        <f t="shared" si="6"/>
        <v>0.82335329341317365</v>
      </c>
      <c r="AK145" s="1" t="s">
        <v>67</v>
      </c>
      <c r="AL145" s="122"/>
      <c r="AM145" s="122">
        <v>3000</v>
      </c>
      <c r="AN145" s="122">
        <v>37</v>
      </c>
      <c r="AO145" s="122"/>
      <c r="AP145" s="122"/>
      <c r="AQ145" s="122"/>
      <c r="AR145" s="122"/>
    </row>
    <row r="146" spans="1:44">
      <c r="A146" s="75">
        <v>145</v>
      </c>
      <c r="B146" s="107">
        <v>2006</v>
      </c>
      <c r="C146" s="118" t="s">
        <v>139</v>
      </c>
      <c r="D146" s="9" t="s">
        <v>108</v>
      </c>
      <c r="E146" s="9" t="s">
        <v>17</v>
      </c>
      <c r="F146" s="9" t="s">
        <v>37</v>
      </c>
      <c r="G146" s="9" t="s">
        <v>48</v>
      </c>
      <c r="H146" s="17">
        <v>38881</v>
      </c>
      <c r="I146" s="17"/>
      <c r="J146" s="18"/>
      <c r="K146" s="122">
        <v>53.075000000000003</v>
      </c>
      <c r="L146" s="122">
        <v>23.815000000000001</v>
      </c>
      <c r="M146" s="125">
        <v>0.5</v>
      </c>
      <c r="N146" s="122">
        <v>442.38499999999999</v>
      </c>
      <c r="O146" s="122">
        <v>9.36</v>
      </c>
      <c r="P146" s="122">
        <f>AJ146*1000*AN146/100</f>
        <v>654.7305389221558</v>
      </c>
      <c r="Q146" s="122">
        <f>N146*P146/1000</f>
        <v>289.64296946107788</v>
      </c>
      <c r="R146" s="122">
        <f>K146*P146/1000</f>
        <v>34.749823353293422</v>
      </c>
      <c r="S146" s="122"/>
      <c r="T146" s="122">
        <f>$AJ146*1000*$AN146*0.01*$N146*0.001</f>
        <v>289.64296946107788</v>
      </c>
      <c r="U146" s="122">
        <f>$AJ146*1000*$AN146*0.01*$K146*0.001</f>
        <v>34.749823353293422</v>
      </c>
      <c r="V146" s="123"/>
      <c r="W146" s="122"/>
      <c r="X146" s="122"/>
      <c r="Y146" s="122"/>
      <c r="Z146" s="122"/>
      <c r="AG146" s="124">
        <v>3.34</v>
      </c>
      <c r="AH146" s="1">
        <v>71</v>
      </c>
      <c r="AI146" s="1"/>
      <c r="AJ146" s="124">
        <f t="shared" si="6"/>
        <v>21.257485029940121</v>
      </c>
      <c r="AK146" s="1" t="s">
        <v>5</v>
      </c>
      <c r="AL146" s="122"/>
      <c r="AM146" s="122"/>
      <c r="AN146" s="122">
        <v>3.08</v>
      </c>
      <c r="AO146" s="122">
        <v>14.874999999999998</v>
      </c>
      <c r="AP146" s="122">
        <v>12.749999999999998</v>
      </c>
      <c r="AQ146" s="122">
        <v>55.25</v>
      </c>
      <c r="AR146" s="122">
        <v>2.125</v>
      </c>
    </row>
    <row r="147" spans="1:44">
      <c r="A147" s="75">
        <v>146</v>
      </c>
      <c r="B147" s="107">
        <v>2006</v>
      </c>
      <c r="C147" s="118" t="s">
        <v>139</v>
      </c>
      <c r="D147" s="9" t="s">
        <v>108</v>
      </c>
      <c r="E147" s="9" t="s">
        <v>25</v>
      </c>
      <c r="F147" s="9" t="s">
        <v>35</v>
      </c>
      <c r="G147" s="9" t="s">
        <v>36</v>
      </c>
      <c r="H147" s="17">
        <v>38901</v>
      </c>
      <c r="I147" s="17"/>
      <c r="J147" s="18">
        <v>3</v>
      </c>
      <c r="K147" s="122"/>
      <c r="L147" s="122"/>
      <c r="M147" s="122"/>
      <c r="N147" s="122"/>
      <c r="O147" s="122"/>
      <c r="P147" s="122"/>
      <c r="Q147" s="122"/>
      <c r="R147" s="122"/>
      <c r="S147" s="122">
        <f>AJ147*AM147*AN147*0.01</f>
        <v>664.67065868263478</v>
      </c>
      <c r="T147" s="122">
        <f>$S147*0.4089</f>
        <v>271.78383233532935</v>
      </c>
      <c r="U147" s="122">
        <f>$S147*0.0263</f>
        <v>17.480838323353296</v>
      </c>
      <c r="V147" s="123"/>
      <c r="W147" s="122"/>
      <c r="X147" s="122"/>
      <c r="Y147" s="122"/>
      <c r="Z147" s="122"/>
      <c r="AG147" s="124">
        <v>3.34</v>
      </c>
      <c r="AH147" s="1">
        <v>2</v>
      </c>
      <c r="AI147" s="1"/>
      <c r="AJ147" s="124">
        <f t="shared" si="6"/>
        <v>0.5988023952095809</v>
      </c>
      <c r="AK147" s="1" t="s">
        <v>67</v>
      </c>
      <c r="AL147" s="122"/>
      <c r="AM147" s="122">
        <v>3000</v>
      </c>
      <c r="AN147" s="122">
        <v>37</v>
      </c>
      <c r="AO147" s="122"/>
      <c r="AP147" s="122"/>
      <c r="AQ147" s="122"/>
      <c r="AR147" s="122"/>
    </row>
    <row r="148" spans="1:44">
      <c r="A148" s="75">
        <v>147</v>
      </c>
      <c r="B148" s="107">
        <v>2006</v>
      </c>
      <c r="C148" s="118" t="s">
        <v>139</v>
      </c>
      <c r="D148" s="9" t="s">
        <v>108</v>
      </c>
      <c r="E148" s="9" t="s">
        <v>17</v>
      </c>
      <c r="F148" s="9" t="s">
        <v>37</v>
      </c>
      <c r="G148" s="9" t="s">
        <v>48</v>
      </c>
      <c r="H148" s="17">
        <v>38904</v>
      </c>
      <c r="I148" s="17"/>
      <c r="J148" s="18"/>
      <c r="K148" s="122">
        <v>53.075000000000003</v>
      </c>
      <c r="L148" s="122">
        <v>23.815000000000001</v>
      </c>
      <c r="M148" s="125">
        <v>0.5</v>
      </c>
      <c r="N148" s="122">
        <v>442.38499999999999</v>
      </c>
      <c r="O148" s="122">
        <v>9.36</v>
      </c>
      <c r="P148" s="122">
        <f>AJ148*1000*AN148/100</f>
        <v>737.72455089820357</v>
      </c>
      <c r="Q148" s="122">
        <f>N148*P148/1000</f>
        <v>326.35827544910177</v>
      </c>
      <c r="R148" s="122">
        <f>K148*P148/1000</f>
        <v>39.154730538922159</v>
      </c>
      <c r="S148" s="122"/>
      <c r="T148" s="122">
        <f>$AJ148*1000*$AN148*0.01*$N148*0.001</f>
        <v>326.35827544910177</v>
      </c>
      <c r="U148" s="122">
        <f>$AJ148*1000*$AN148*0.01*$K148*0.001</f>
        <v>39.154730538922159</v>
      </c>
      <c r="V148" s="123"/>
      <c r="W148" s="122"/>
      <c r="X148" s="122"/>
      <c r="Y148" s="122"/>
      <c r="Z148" s="122"/>
      <c r="AG148" s="124">
        <v>3.34</v>
      </c>
      <c r="AH148" s="1">
        <v>80</v>
      </c>
      <c r="AI148" s="1"/>
      <c r="AJ148" s="124">
        <f t="shared" si="6"/>
        <v>23.952095808383234</v>
      </c>
      <c r="AK148" s="1" t="s">
        <v>5</v>
      </c>
      <c r="AL148" s="122"/>
      <c r="AM148" s="122"/>
      <c r="AN148" s="122">
        <v>3.08</v>
      </c>
      <c r="AO148" s="122">
        <v>16.766467065868266</v>
      </c>
      <c r="AP148" s="122">
        <v>14.371257485029941</v>
      </c>
      <c r="AQ148" s="122">
        <v>62.275449101796411</v>
      </c>
      <c r="AR148" s="122">
        <v>2.3952095808383236</v>
      </c>
    </row>
    <row r="149" spans="1:44">
      <c r="A149" s="75">
        <v>148</v>
      </c>
      <c r="B149" s="107">
        <v>2006</v>
      </c>
      <c r="C149" s="118" t="s">
        <v>139</v>
      </c>
      <c r="D149" s="9" t="s">
        <v>108</v>
      </c>
      <c r="E149" s="9" t="s">
        <v>25</v>
      </c>
      <c r="F149" s="9" t="s">
        <v>35</v>
      </c>
      <c r="G149" s="9" t="s">
        <v>36</v>
      </c>
      <c r="H149" s="17">
        <v>38921</v>
      </c>
      <c r="I149" s="17"/>
      <c r="J149" s="18">
        <v>4</v>
      </c>
      <c r="K149" s="122"/>
      <c r="L149" s="122"/>
      <c r="M149" s="122"/>
      <c r="N149" s="122"/>
      <c r="O149" s="122"/>
      <c r="P149" s="122"/>
      <c r="Q149" s="122"/>
      <c r="R149" s="122"/>
      <c r="S149" s="122">
        <f>AJ149*AM149*AN149*0.01</f>
        <v>332.33532934131739</v>
      </c>
      <c r="T149" s="122">
        <f>$S149*0.4089</f>
        <v>135.89191616766468</v>
      </c>
      <c r="U149" s="122">
        <f>$S149*0.0263</f>
        <v>8.7404191616766482</v>
      </c>
      <c r="V149" s="123"/>
      <c r="W149" s="122"/>
      <c r="X149" s="122"/>
      <c r="Y149" s="122"/>
      <c r="Z149" s="122"/>
      <c r="AG149" s="124">
        <v>3.34</v>
      </c>
      <c r="AH149" s="1">
        <v>1</v>
      </c>
      <c r="AI149" s="1"/>
      <c r="AJ149" s="124">
        <f t="shared" si="6"/>
        <v>0.29940119760479045</v>
      </c>
      <c r="AK149" s="1" t="s">
        <v>67</v>
      </c>
      <c r="AL149" s="122"/>
      <c r="AM149" s="122">
        <v>3000</v>
      </c>
      <c r="AN149" s="122">
        <v>37</v>
      </c>
      <c r="AO149" s="122"/>
      <c r="AP149" s="122"/>
      <c r="AQ149" s="122"/>
      <c r="AR149" s="122"/>
    </row>
    <row r="150" spans="1:44">
      <c r="A150" s="75">
        <v>149</v>
      </c>
      <c r="B150" s="107">
        <v>2006</v>
      </c>
      <c r="C150" s="118" t="s">
        <v>139</v>
      </c>
      <c r="D150" s="9" t="s">
        <v>108</v>
      </c>
      <c r="E150" s="9" t="s">
        <v>17</v>
      </c>
      <c r="F150" s="9" t="s">
        <v>37</v>
      </c>
      <c r="G150" s="9" t="s">
        <v>48</v>
      </c>
      <c r="H150" s="17">
        <v>38931</v>
      </c>
      <c r="I150" s="17"/>
      <c r="J150" s="18"/>
      <c r="K150" s="122">
        <v>53.075000000000003</v>
      </c>
      <c r="L150" s="122">
        <v>23.815000000000001</v>
      </c>
      <c r="M150" s="125">
        <v>0.5</v>
      </c>
      <c r="N150" s="122">
        <v>442.38499999999999</v>
      </c>
      <c r="O150" s="122">
        <v>9.36</v>
      </c>
      <c r="P150" s="122">
        <f>AJ150*1000*AN150/100</f>
        <v>829.94011976047898</v>
      </c>
      <c r="Q150" s="122">
        <f>N150*P150/1000</f>
        <v>367.15305988023948</v>
      </c>
      <c r="R150" s="122">
        <f>K150*P150/1000</f>
        <v>44.049071856287426</v>
      </c>
      <c r="S150" s="122"/>
      <c r="T150" s="122">
        <f>$AJ150*1000*$AN150*0.01*$N150*0.001</f>
        <v>367.15305988023948</v>
      </c>
      <c r="U150" s="122">
        <f>$AJ150*1000*$AN150*0.01*$K150*0.001</f>
        <v>44.049071856287426</v>
      </c>
      <c r="V150" s="123"/>
      <c r="W150" s="122"/>
      <c r="X150" s="122"/>
      <c r="Y150" s="122"/>
      <c r="Z150" s="122"/>
      <c r="AG150" s="124">
        <v>3.34</v>
      </c>
      <c r="AH150" s="1">
        <v>90</v>
      </c>
      <c r="AI150" s="1"/>
      <c r="AJ150" s="124">
        <f t="shared" si="6"/>
        <v>26.946107784431138</v>
      </c>
      <c r="AK150" s="1" t="s">
        <v>5</v>
      </c>
      <c r="AL150" s="122"/>
      <c r="AM150" s="122"/>
      <c r="AN150" s="122">
        <v>3.08</v>
      </c>
      <c r="AO150" s="122">
        <v>18.862275449101794</v>
      </c>
      <c r="AP150" s="122">
        <v>16.167664670658684</v>
      </c>
      <c r="AQ150" s="122">
        <v>70.059880239520965</v>
      </c>
      <c r="AR150" s="122">
        <v>2.6946107784431139</v>
      </c>
    </row>
    <row r="151" spans="1:44">
      <c r="A151" s="75">
        <v>150</v>
      </c>
      <c r="B151" s="107">
        <v>2006</v>
      </c>
      <c r="C151" s="118" t="s">
        <v>139</v>
      </c>
      <c r="D151" s="9" t="s">
        <v>108</v>
      </c>
      <c r="E151" s="9" t="s">
        <v>25</v>
      </c>
      <c r="F151" s="9" t="s">
        <v>35</v>
      </c>
      <c r="G151" s="9" t="s">
        <v>36</v>
      </c>
      <c r="H151" s="17">
        <v>38964</v>
      </c>
      <c r="I151" s="17"/>
      <c r="J151" s="18">
        <v>5</v>
      </c>
      <c r="K151" s="122"/>
      <c r="L151" s="122"/>
      <c r="M151" s="122"/>
      <c r="N151" s="122"/>
      <c r="O151" s="122"/>
      <c r="P151" s="122"/>
      <c r="Q151" s="122"/>
      <c r="R151" s="122"/>
      <c r="S151" s="122">
        <f>AJ151*AM151*AN151*0.01</f>
        <v>1329.3413173652696</v>
      </c>
      <c r="T151" s="122">
        <f>$S151*0.4089</f>
        <v>543.5676646706587</v>
      </c>
      <c r="U151" s="122">
        <f>$S151*0.0263</f>
        <v>34.961676646706593</v>
      </c>
      <c r="V151" s="123"/>
      <c r="W151" s="122"/>
      <c r="X151" s="122"/>
      <c r="Y151" s="122"/>
      <c r="Z151" s="122"/>
      <c r="AG151" s="124">
        <v>3.34</v>
      </c>
      <c r="AH151" s="1">
        <v>4</v>
      </c>
      <c r="AI151" s="1"/>
      <c r="AJ151" s="124">
        <f t="shared" si="6"/>
        <v>1.1976047904191618</v>
      </c>
      <c r="AK151" s="1" t="s">
        <v>67</v>
      </c>
      <c r="AL151" s="122"/>
      <c r="AM151" s="122">
        <v>3000</v>
      </c>
      <c r="AN151" s="122">
        <v>37</v>
      </c>
      <c r="AO151" s="122"/>
      <c r="AP151" s="122"/>
      <c r="AQ151" s="122"/>
      <c r="AR151" s="122"/>
    </row>
    <row r="152" spans="1:44">
      <c r="A152" s="75">
        <v>151</v>
      </c>
      <c r="B152" s="107">
        <v>2006</v>
      </c>
      <c r="C152" s="118" t="s">
        <v>139</v>
      </c>
      <c r="D152" s="9" t="s">
        <v>108</v>
      </c>
      <c r="E152" s="9" t="s">
        <v>23</v>
      </c>
      <c r="F152" s="9" t="s">
        <v>38</v>
      </c>
      <c r="G152" s="9" t="s">
        <v>50</v>
      </c>
      <c r="H152" s="17">
        <v>38968</v>
      </c>
      <c r="I152" s="17"/>
      <c r="J152" s="18"/>
      <c r="K152" s="122"/>
      <c r="L152" s="122"/>
      <c r="M152" s="122"/>
      <c r="N152" s="122"/>
      <c r="O152" s="122"/>
      <c r="P152" s="122"/>
      <c r="Q152" s="122"/>
      <c r="R152" s="122"/>
      <c r="S152" s="122"/>
      <c r="T152" s="122"/>
      <c r="U152" s="122"/>
      <c r="V152" s="123"/>
      <c r="W152" s="122"/>
      <c r="X152" s="122"/>
      <c r="Y152" s="122"/>
      <c r="Z152" s="122"/>
      <c r="AG152" s="124">
        <v>3.34</v>
      </c>
      <c r="AH152" s="1">
        <v>60</v>
      </c>
      <c r="AI152" s="1"/>
      <c r="AJ152" s="124">
        <f t="shared" si="6"/>
        <v>17.964071856287426</v>
      </c>
      <c r="AK152" s="1" t="s">
        <v>3</v>
      </c>
      <c r="AL152" s="122"/>
      <c r="AM152" s="122"/>
      <c r="AN152" s="122"/>
      <c r="AO152" s="122"/>
      <c r="AP152" s="122"/>
      <c r="AQ152" s="122"/>
      <c r="AR152" s="122"/>
    </row>
    <row r="153" spans="1:44">
      <c r="A153" s="75">
        <v>152</v>
      </c>
      <c r="B153" s="107">
        <v>2006</v>
      </c>
      <c r="C153" s="118" t="s">
        <v>139</v>
      </c>
      <c r="D153" s="9" t="s">
        <v>108</v>
      </c>
      <c r="E153" s="9" t="s">
        <v>17</v>
      </c>
      <c r="F153" s="9" t="s">
        <v>37</v>
      </c>
      <c r="G153" s="9" t="s">
        <v>48</v>
      </c>
      <c r="H153" s="17">
        <v>39009</v>
      </c>
      <c r="I153" s="17"/>
      <c r="J153" s="18"/>
      <c r="K153" s="122">
        <v>53.075000000000003</v>
      </c>
      <c r="L153" s="122">
        <v>23.815000000000001</v>
      </c>
      <c r="M153" s="125">
        <v>0.5</v>
      </c>
      <c r="N153" s="122">
        <v>442.38499999999999</v>
      </c>
      <c r="O153" s="122">
        <v>9.36</v>
      </c>
      <c r="P153" s="122">
        <f>AJ153*1000*AN153/100</f>
        <v>1014.3712574850301</v>
      </c>
      <c r="Q153" s="122">
        <f>N153*P153/1000</f>
        <v>448.74262874251502</v>
      </c>
      <c r="R153" s="122">
        <f>K153*P153/1000</f>
        <v>53.837754491017975</v>
      </c>
      <c r="S153" s="122"/>
      <c r="T153" s="122">
        <f>$AJ153*1000*$AN153*0.01*$N153*0.001</f>
        <v>448.74262874251508</v>
      </c>
      <c r="U153" s="122">
        <f>$AJ153*1000*$AN153*0.01*$K153*0.001</f>
        <v>53.837754491017982</v>
      </c>
      <c r="V153" s="123"/>
      <c r="W153" s="122"/>
      <c r="X153" s="122"/>
      <c r="Y153" s="122"/>
      <c r="Z153" s="122"/>
      <c r="AG153" s="124">
        <v>3.34</v>
      </c>
      <c r="AH153" s="1">
        <v>110</v>
      </c>
      <c r="AI153" s="1"/>
      <c r="AJ153" s="124">
        <f t="shared" si="6"/>
        <v>32.93413173652695</v>
      </c>
      <c r="AK153" s="1" t="s">
        <v>5</v>
      </c>
      <c r="AL153" s="122"/>
      <c r="AM153" s="122"/>
      <c r="AN153" s="122">
        <v>3.08</v>
      </c>
      <c r="AO153" s="122">
        <v>23.053892215568862</v>
      </c>
      <c r="AP153" s="122">
        <v>19.76047904191617</v>
      </c>
      <c r="AQ153" s="122">
        <v>85.628742514970057</v>
      </c>
      <c r="AR153" s="122">
        <v>3.2934131736526946</v>
      </c>
    </row>
    <row r="154" spans="1:44">
      <c r="A154" s="75">
        <v>153</v>
      </c>
      <c r="B154" s="107">
        <v>2006</v>
      </c>
      <c r="C154" s="118" t="s">
        <v>139</v>
      </c>
      <c r="D154" s="9" t="s">
        <v>108</v>
      </c>
      <c r="E154" s="9" t="s">
        <v>17</v>
      </c>
      <c r="F154" s="9" t="s">
        <v>37</v>
      </c>
      <c r="G154" s="9" t="s">
        <v>48</v>
      </c>
      <c r="H154" s="17">
        <v>39062</v>
      </c>
      <c r="I154" s="17"/>
      <c r="J154" s="18"/>
      <c r="K154" s="122">
        <v>53.075000000000003</v>
      </c>
      <c r="L154" s="122">
        <v>23.815000000000001</v>
      </c>
      <c r="M154" s="125">
        <v>0.5</v>
      </c>
      <c r="N154" s="122">
        <v>442.38499999999999</v>
      </c>
      <c r="O154" s="122">
        <v>9.36</v>
      </c>
      <c r="P154" s="122">
        <f>AJ154*1000*AN154/100</f>
        <v>1106.5868263473053</v>
      </c>
      <c r="Q154" s="122">
        <f>N154*P154/1000</f>
        <v>489.53741317365268</v>
      </c>
      <c r="R154" s="122">
        <f>K154*P154/1000</f>
        <v>58.732095808383228</v>
      </c>
      <c r="S154" s="122"/>
      <c r="T154" s="122">
        <f>$AJ154*1000*$AN154*0.01*$N154*0.001</f>
        <v>489.53741317365268</v>
      </c>
      <c r="U154" s="122">
        <f>$AJ154*1000*$AN154*0.01*$K154*0.001</f>
        <v>58.732095808383228</v>
      </c>
      <c r="V154" s="123"/>
      <c r="W154" s="122"/>
      <c r="X154" s="122"/>
      <c r="Y154" s="122"/>
      <c r="Z154" s="122"/>
      <c r="AG154" s="124">
        <v>3.34</v>
      </c>
      <c r="AH154" s="1">
        <v>120</v>
      </c>
      <c r="AI154" s="1"/>
      <c r="AJ154" s="124">
        <f t="shared" si="6"/>
        <v>35.928143712574851</v>
      </c>
      <c r="AK154" s="1" t="s">
        <v>5</v>
      </c>
      <c r="AL154" s="122"/>
      <c r="AM154" s="122"/>
      <c r="AN154" s="122">
        <v>3.08</v>
      </c>
      <c r="AO154" s="122">
        <v>25.149700598802397</v>
      </c>
      <c r="AP154" s="122">
        <v>21.556886227544911</v>
      </c>
      <c r="AQ154" s="122">
        <v>93.41317365269461</v>
      </c>
      <c r="AR154" s="122">
        <v>3.5928143712574854</v>
      </c>
    </row>
    <row r="155" spans="1:44">
      <c r="A155" s="75">
        <v>154</v>
      </c>
      <c r="B155" s="107">
        <v>2006</v>
      </c>
      <c r="C155" s="118" t="s">
        <v>139</v>
      </c>
      <c r="D155" s="9" t="s">
        <v>108</v>
      </c>
      <c r="E155" s="9" t="s">
        <v>25</v>
      </c>
      <c r="F155" s="9" t="s">
        <v>35</v>
      </c>
      <c r="G155" s="9" t="s">
        <v>36</v>
      </c>
      <c r="H155" s="17">
        <v>39000</v>
      </c>
      <c r="I155" s="17"/>
      <c r="J155" s="18">
        <v>6</v>
      </c>
      <c r="K155" s="122"/>
      <c r="L155" s="122"/>
      <c r="M155" s="122"/>
      <c r="N155" s="122"/>
      <c r="O155" s="122"/>
      <c r="P155" s="122"/>
      <c r="Q155" s="122"/>
      <c r="R155" s="122"/>
      <c r="S155" s="122">
        <f>AJ155*AM155*AN155*0.01</f>
        <v>1158.188622754491</v>
      </c>
      <c r="T155" s="122">
        <f>$S155*0.4089</f>
        <v>473.58332784431138</v>
      </c>
      <c r="U155" s="122">
        <f>$S155*0.0263</f>
        <v>30.460360778443114</v>
      </c>
      <c r="V155" s="123"/>
      <c r="W155" s="122"/>
      <c r="X155" s="122"/>
      <c r="Y155" s="122"/>
      <c r="Z155" s="122"/>
      <c r="AG155" s="124">
        <v>3.34</v>
      </c>
      <c r="AH155" s="1">
        <v>17</v>
      </c>
      <c r="AI155" s="1"/>
      <c r="AJ155" s="124">
        <f t="shared" si="6"/>
        <v>5.0898203592814371</v>
      </c>
      <c r="AK155" s="137" t="s">
        <v>70</v>
      </c>
      <c r="AL155" s="122"/>
      <c r="AM155" s="122">
        <v>615</v>
      </c>
      <c r="AN155" s="122">
        <v>37</v>
      </c>
      <c r="AO155" s="122"/>
      <c r="AP155" s="122"/>
      <c r="AQ155" s="122"/>
      <c r="AR155" s="122"/>
    </row>
    <row r="156" spans="1:44">
      <c r="A156" s="75">
        <v>155</v>
      </c>
      <c r="B156" s="112">
        <v>2007</v>
      </c>
      <c r="C156" s="117" t="s">
        <v>138</v>
      </c>
      <c r="D156" s="9" t="s">
        <v>108</v>
      </c>
      <c r="E156" s="9" t="s">
        <v>17</v>
      </c>
      <c r="F156" s="9" t="s">
        <v>37</v>
      </c>
      <c r="G156" s="9" t="s">
        <v>46</v>
      </c>
      <c r="H156" s="17">
        <v>39147</v>
      </c>
      <c r="I156" s="17"/>
      <c r="J156" s="18"/>
      <c r="K156" s="122">
        <v>32.07</v>
      </c>
      <c r="L156" s="122">
        <v>3.6</v>
      </c>
      <c r="M156" s="125" t="s">
        <v>62</v>
      </c>
      <c r="N156" s="122">
        <v>458.62</v>
      </c>
      <c r="O156" s="122">
        <v>14.3</v>
      </c>
      <c r="P156" s="122">
        <f>AJ156*1000*AN156/100</f>
        <v>2353.5211267605637</v>
      </c>
      <c r="Q156" s="122">
        <f>N156*P156/1000</f>
        <v>1079.3718591549296</v>
      </c>
      <c r="R156" s="122">
        <f>P156*K156/1000</f>
        <v>75.477422535211289</v>
      </c>
      <c r="S156" s="122"/>
      <c r="T156" s="122">
        <f>$AJ156*1000*$AN156*0.01*$N156*0.001</f>
        <v>1079.3718591549296</v>
      </c>
      <c r="U156" s="122">
        <f>$AJ156*1000*$AN156*0.01*$K156*0.001</f>
        <v>75.477422535211289</v>
      </c>
      <c r="V156" s="123"/>
      <c r="W156" s="122"/>
      <c r="X156" s="122"/>
      <c r="Y156" s="122"/>
      <c r="Z156" s="122"/>
      <c r="AG156" s="124">
        <v>1.42</v>
      </c>
      <c r="AH156" s="1">
        <v>20</v>
      </c>
      <c r="AI156" s="1"/>
      <c r="AJ156" s="124">
        <f t="shared" si="6"/>
        <v>14.084507042253522</v>
      </c>
      <c r="AK156" s="1" t="s">
        <v>2</v>
      </c>
      <c r="AL156" s="122"/>
      <c r="AM156" s="122"/>
      <c r="AN156" s="122">
        <v>16.71</v>
      </c>
      <c r="AO156" s="122">
        <v>21</v>
      </c>
      <c r="AP156" s="122">
        <v>31</v>
      </c>
      <c r="AQ156" s="122">
        <v>152</v>
      </c>
      <c r="AR156" s="122">
        <v>13</v>
      </c>
    </row>
    <row r="157" spans="1:44">
      <c r="A157" s="75">
        <v>156</v>
      </c>
      <c r="B157" s="112">
        <v>2007</v>
      </c>
      <c r="C157" s="117" t="s">
        <v>138</v>
      </c>
      <c r="D157" s="9" t="s">
        <v>108</v>
      </c>
      <c r="E157" s="9" t="s">
        <v>26</v>
      </c>
      <c r="F157" s="9" t="s">
        <v>30</v>
      </c>
      <c r="G157" s="4" t="s">
        <v>127</v>
      </c>
      <c r="H157" s="17">
        <v>39157</v>
      </c>
      <c r="I157" s="17"/>
      <c r="J157" s="18"/>
      <c r="K157" s="122"/>
      <c r="L157" s="122"/>
      <c r="M157" s="122"/>
      <c r="N157" s="122"/>
      <c r="O157" s="122"/>
      <c r="P157" s="122"/>
      <c r="Q157" s="122"/>
      <c r="R157" s="122"/>
      <c r="S157" s="122"/>
      <c r="T157" s="122"/>
      <c r="U157" s="122"/>
      <c r="V157" s="123"/>
      <c r="W157" s="122"/>
      <c r="X157" s="122"/>
      <c r="Y157" s="122"/>
      <c r="Z157" s="122"/>
      <c r="AG157" s="124">
        <v>1.42</v>
      </c>
      <c r="AH157" s="122"/>
      <c r="AI157" s="122"/>
      <c r="AJ157" s="122"/>
      <c r="AL157" s="122"/>
      <c r="AM157" s="122"/>
      <c r="AN157" s="122"/>
      <c r="AO157" s="122"/>
      <c r="AP157" s="122"/>
      <c r="AQ157" s="122"/>
      <c r="AR157" s="122"/>
    </row>
    <row r="158" spans="1:44">
      <c r="A158" s="75">
        <v>157</v>
      </c>
      <c r="B158" s="112">
        <v>2007</v>
      </c>
      <c r="C158" s="117" t="s">
        <v>138</v>
      </c>
      <c r="D158" s="9" t="s">
        <v>108</v>
      </c>
      <c r="E158" s="9" t="s">
        <v>25</v>
      </c>
      <c r="F158" s="9" t="s">
        <v>35</v>
      </c>
      <c r="G158" s="9" t="s">
        <v>36</v>
      </c>
      <c r="H158" s="17">
        <v>39188</v>
      </c>
      <c r="I158" s="17">
        <v>39189</v>
      </c>
      <c r="J158" s="18">
        <v>1</v>
      </c>
      <c r="K158" s="122"/>
      <c r="L158" s="122"/>
      <c r="M158" s="122"/>
      <c r="N158" s="122"/>
      <c r="O158" s="122"/>
      <c r="P158" s="122"/>
      <c r="Q158" s="122"/>
      <c r="R158" s="122"/>
      <c r="S158" s="122">
        <f>AJ158*AM158*AN158*0.01</f>
        <v>1563.3802816901411</v>
      </c>
      <c r="T158" s="122">
        <f>S158*0.4089</f>
        <v>639.26619718309871</v>
      </c>
      <c r="U158" s="122">
        <f>S158*0.0263</f>
        <v>41.116901408450715</v>
      </c>
      <c r="V158" s="123"/>
      <c r="W158" s="122"/>
      <c r="X158" s="122"/>
      <c r="Y158" s="122"/>
      <c r="Z158" s="122"/>
      <c r="AG158" s="124">
        <v>1.42</v>
      </c>
      <c r="AH158" s="1">
        <v>2</v>
      </c>
      <c r="AI158" s="1"/>
      <c r="AJ158" s="124">
        <f t="shared" ref="AJ158:AJ189" si="7">IF(AH158/AG158&gt;0, AH158/AG158,"")</f>
        <v>1.4084507042253522</v>
      </c>
      <c r="AK158" s="1" t="s">
        <v>67</v>
      </c>
      <c r="AL158" s="122"/>
      <c r="AM158" s="122">
        <v>3000</v>
      </c>
      <c r="AN158" s="122">
        <v>37</v>
      </c>
      <c r="AO158" s="122"/>
      <c r="AP158" s="122"/>
      <c r="AQ158" s="122"/>
      <c r="AR158" s="122"/>
    </row>
    <row r="159" spans="1:44">
      <c r="A159" s="75">
        <v>158</v>
      </c>
      <c r="B159" s="112">
        <v>2007</v>
      </c>
      <c r="C159" s="117" t="s">
        <v>138</v>
      </c>
      <c r="D159" s="9" t="s">
        <v>108</v>
      </c>
      <c r="E159" s="9" t="s">
        <v>25</v>
      </c>
      <c r="F159" s="9" t="s">
        <v>35</v>
      </c>
      <c r="G159" s="9" t="s">
        <v>36</v>
      </c>
      <c r="H159" s="17">
        <v>39224</v>
      </c>
      <c r="I159" s="17">
        <v>39225</v>
      </c>
      <c r="J159" s="18">
        <v>2</v>
      </c>
      <c r="K159" s="122"/>
      <c r="L159" s="122"/>
      <c r="M159" s="122"/>
      <c r="N159" s="122"/>
      <c r="O159" s="122"/>
      <c r="P159" s="122"/>
      <c r="Q159" s="122"/>
      <c r="R159" s="122"/>
      <c r="S159" s="122">
        <f>AJ159*AM159*AN159*0.01</f>
        <v>1563.3802816901411</v>
      </c>
      <c r="T159" s="122">
        <f>S159*0.4089</f>
        <v>639.26619718309871</v>
      </c>
      <c r="U159" s="122">
        <f>S159*0.0263</f>
        <v>41.116901408450715</v>
      </c>
      <c r="V159" s="123"/>
      <c r="W159" s="122"/>
      <c r="X159" s="122"/>
      <c r="Y159" s="122"/>
      <c r="Z159" s="122"/>
      <c r="AG159" s="124">
        <v>1.42</v>
      </c>
      <c r="AH159" s="1">
        <v>2</v>
      </c>
      <c r="AI159" s="1"/>
      <c r="AJ159" s="124">
        <f t="shared" si="7"/>
        <v>1.4084507042253522</v>
      </c>
      <c r="AK159" s="1" t="s">
        <v>67</v>
      </c>
      <c r="AL159" s="122"/>
      <c r="AM159" s="122">
        <v>3000</v>
      </c>
      <c r="AN159" s="122">
        <v>37</v>
      </c>
      <c r="AO159" s="122"/>
      <c r="AP159" s="122"/>
      <c r="AQ159" s="122"/>
      <c r="AR159" s="122"/>
    </row>
    <row r="160" spans="1:44">
      <c r="A160" s="75">
        <v>159</v>
      </c>
      <c r="B160" s="112">
        <v>2007</v>
      </c>
      <c r="C160" s="117" t="s">
        <v>138</v>
      </c>
      <c r="D160" s="9" t="s">
        <v>108</v>
      </c>
      <c r="E160" s="9" t="s">
        <v>17</v>
      </c>
      <c r="F160" s="9" t="s">
        <v>37</v>
      </c>
      <c r="G160" s="9" t="s">
        <v>48</v>
      </c>
      <c r="H160" s="17">
        <v>39233</v>
      </c>
      <c r="I160" s="17"/>
      <c r="J160" s="18"/>
      <c r="K160" s="122">
        <v>46.02</v>
      </c>
      <c r="L160" s="122">
        <v>21.14</v>
      </c>
      <c r="M160" s="125" t="s">
        <v>62</v>
      </c>
      <c r="N160" s="122">
        <v>461.74</v>
      </c>
      <c r="O160" s="122">
        <v>10.029999999999999</v>
      </c>
      <c r="P160" s="122">
        <f>AJ160*1000*AN160/100</f>
        <v>1132.3943661971832</v>
      </c>
      <c r="Q160" s="122">
        <f>N160*P160/1000</f>
        <v>522.87177464788738</v>
      </c>
      <c r="R160" s="122">
        <f>K160*P160/1000</f>
        <v>52.112788732394371</v>
      </c>
      <c r="S160" s="122"/>
      <c r="T160" s="122">
        <f>$AJ160*1000*$AN160*0.01*$N160*0.001</f>
        <v>522.87177464788738</v>
      </c>
      <c r="U160" s="122">
        <f>$AJ160*1000*$AN160*0.01*$K160*0.001</f>
        <v>52.112788732394371</v>
      </c>
      <c r="V160" s="123"/>
      <c r="W160" s="122"/>
      <c r="X160" s="122"/>
      <c r="Y160" s="122"/>
      <c r="Z160" s="122"/>
      <c r="AG160" s="124">
        <v>1.42</v>
      </c>
      <c r="AH160" s="1">
        <v>40</v>
      </c>
      <c r="AI160" s="1"/>
      <c r="AJ160" s="124">
        <f t="shared" si="7"/>
        <v>28.169014084507044</v>
      </c>
      <c r="AK160" s="1" t="s">
        <v>5</v>
      </c>
      <c r="AL160" s="122"/>
      <c r="AM160" s="122"/>
      <c r="AN160" s="122">
        <v>4.0199999999999996</v>
      </c>
      <c r="AO160" s="122">
        <v>20</v>
      </c>
      <c r="AP160" s="122">
        <v>17</v>
      </c>
      <c r="AQ160" s="122">
        <v>73</v>
      </c>
      <c r="AR160" s="122">
        <v>3</v>
      </c>
    </row>
    <row r="161" spans="1:44">
      <c r="A161" s="75">
        <v>160</v>
      </c>
      <c r="B161" s="112">
        <v>2007</v>
      </c>
      <c r="C161" s="117" t="s">
        <v>138</v>
      </c>
      <c r="D161" s="9" t="s">
        <v>108</v>
      </c>
      <c r="E161" s="9" t="s">
        <v>25</v>
      </c>
      <c r="F161" s="9" t="s">
        <v>35</v>
      </c>
      <c r="G161" s="33" t="s">
        <v>43</v>
      </c>
      <c r="H161" s="17">
        <v>39261</v>
      </c>
      <c r="I161" s="17">
        <v>39262</v>
      </c>
      <c r="J161" s="18">
        <v>3</v>
      </c>
      <c r="K161" s="122"/>
      <c r="L161" s="122"/>
      <c r="M161" s="122"/>
      <c r="N161" s="122"/>
      <c r="O161" s="122"/>
      <c r="P161" s="122"/>
      <c r="Q161" s="122"/>
      <c r="R161" s="122"/>
      <c r="S161" s="122">
        <f>AJ161*AM161*AN161*0.01</f>
        <v>2957.74647887324</v>
      </c>
      <c r="T161" s="122">
        <f>S161*0.4089</f>
        <v>1209.4225352112678</v>
      </c>
      <c r="U161" s="122">
        <f>S161*0.0263</f>
        <v>77.788732394366207</v>
      </c>
      <c r="V161" s="123"/>
      <c r="W161" s="122"/>
      <c r="X161" s="122"/>
      <c r="Y161" s="122"/>
      <c r="Z161" s="122"/>
      <c r="AG161" s="124">
        <v>1.42</v>
      </c>
      <c r="AH161" s="1">
        <v>4</v>
      </c>
      <c r="AI161" s="1"/>
      <c r="AJ161" s="124">
        <f t="shared" si="7"/>
        <v>2.8169014084507045</v>
      </c>
      <c r="AK161" s="1" t="s">
        <v>67</v>
      </c>
      <c r="AL161" s="122"/>
      <c r="AM161" s="122">
        <v>1500</v>
      </c>
      <c r="AN161" s="122">
        <v>70</v>
      </c>
      <c r="AO161" s="122"/>
      <c r="AP161" s="122"/>
      <c r="AQ161" s="122"/>
      <c r="AR161" s="122"/>
    </row>
    <row r="162" spans="1:44">
      <c r="A162" s="75">
        <v>161</v>
      </c>
      <c r="B162" s="112">
        <v>2007</v>
      </c>
      <c r="C162" s="117" t="s">
        <v>138</v>
      </c>
      <c r="D162" s="9" t="s">
        <v>108</v>
      </c>
      <c r="E162" s="9" t="s">
        <v>17</v>
      </c>
      <c r="F162" s="9" t="s">
        <v>37</v>
      </c>
      <c r="G162" s="9" t="s">
        <v>48</v>
      </c>
      <c r="H162" s="17">
        <v>39269</v>
      </c>
      <c r="I162" s="17"/>
      <c r="J162" s="18"/>
      <c r="K162" s="122">
        <v>41.4</v>
      </c>
      <c r="L162" s="122">
        <v>20.82</v>
      </c>
      <c r="M162" s="125" t="s">
        <v>62</v>
      </c>
      <c r="N162" s="122">
        <v>480.7</v>
      </c>
      <c r="O162" s="122">
        <v>11.61</v>
      </c>
      <c r="P162" s="122">
        <f>AJ162*1000*AN162/100</f>
        <v>1745.0704225352115</v>
      </c>
      <c r="Q162" s="122">
        <f>N162*P162/1000</f>
        <v>838.85535211267609</v>
      </c>
      <c r="R162" s="122">
        <f>K162*P162/1000</f>
        <v>72.245915492957749</v>
      </c>
      <c r="S162" s="122"/>
      <c r="T162" s="122">
        <f>$AJ162*1000*$AN162*0.01*$N162*0.001</f>
        <v>838.8553521126762</v>
      </c>
      <c r="U162" s="122">
        <f>$AJ162*1000*$AN162*0.01*$K162*0.001</f>
        <v>72.245915492957749</v>
      </c>
      <c r="V162" s="123"/>
      <c r="W162" s="122"/>
      <c r="X162" s="122"/>
      <c r="Y162" s="122"/>
      <c r="Z162" s="122"/>
      <c r="AG162" s="124">
        <v>1.42</v>
      </c>
      <c r="AH162" s="1">
        <v>60</v>
      </c>
      <c r="AI162" s="1"/>
      <c r="AJ162" s="124">
        <f t="shared" si="7"/>
        <v>42.253521126760567</v>
      </c>
      <c r="AK162" s="1" t="s">
        <v>5</v>
      </c>
      <c r="AL162" s="122"/>
      <c r="AM162" s="122"/>
      <c r="AN162" s="122">
        <v>4.13</v>
      </c>
      <c r="AO162" s="122">
        <v>30</v>
      </c>
      <c r="AP162" s="122">
        <v>25</v>
      </c>
      <c r="AQ162" s="122">
        <v>110</v>
      </c>
      <c r="AR162" s="122">
        <v>4</v>
      </c>
    </row>
    <row r="163" spans="1:44">
      <c r="A163" s="75">
        <v>162</v>
      </c>
      <c r="B163" s="112">
        <v>2007</v>
      </c>
      <c r="C163" s="117" t="s">
        <v>138</v>
      </c>
      <c r="D163" s="9" t="s">
        <v>108</v>
      </c>
      <c r="E163" s="9" t="s">
        <v>25</v>
      </c>
      <c r="F163" s="9" t="s">
        <v>35</v>
      </c>
      <c r="G163" s="9" t="s">
        <v>36</v>
      </c>
      <c r="H163" s="17">
        <v>39294</v>
      </c>
      <c r="I163" s="17">
        <v>39295</v>
      </c>
      <c r="J163" s="18">
        <v>4</v>
      </c>
      <c r="K163" s="122"/>
      <c r="L163" s="122"/>
      <c r="M163" s="122"/>
      <c r="N163" s="122"/>
      <c r="O163" s="122"/>
      <c r="P163" s="122"/>
      <c r="Q163" s="122"/>
      <c r="R163" s="122"/>
      <c r="S163" s="122">
        <f>AJ163*AM163*AN163*0.01</f>
        <v>1563.3802816901411</v>
      </c>
      <c r="T163" s="122">
        <f>S163*0.4089</f>
        <v>639.26619718309871</v>
      </c>
      <c r="U163" s="122">
        <f>S163*0.0263</f>
        <v>41.116901408450715</v>
      </c>
      <c r="V163" s="123"/>
      <c r="W163" s="122"/>
      <c r="X163" s="122"/>
      <c r="Y163" s="122"/>
      <c r="Z163" s="122"/>
      <c r="AG163" s="124">
        <v>1.42</v>
      </c>
      <c r="AH163" s="1">
        <v>2</v>
      </c>
      <c r="AI163" s="1"/>
      <c r="AJ163" s="124">
        <f t="shared" si="7"/>
        <v>1.4084507042253522</v>
      </c>
      <c r="AK163" s="1" t="s">
        <v>67</v>
      </c>
      <c r="AL163" s="122"/>
      <c r="AM163" s="122">
        <v>3000</v>
      </c>
      <c r="AN163" s="122">
        <v>37</v>
      </c>
      <c r="AO163" s="122"/>
      <c r="AP163" s="122"/>
      <c r="AQ163" s="122"/>
      <c r="AR163" s="122"/>
    </row>
    <row r="164" spans="1:44">
      <c r="A164" s="75">
        <v>163</v>
      </c>
      <c r="B164" s="112">
        <v>2007</v>
      </c>
      <c r="C164" s="117" t="s">
        <v>138</v>
      </c>
      <c r="D164" s="9" t="s">
        <v>108</v>
      </c>
      <c r="E164" s="9" t="s">
        <v>17</v>
      </c>
      <c r="F164" s="9" t="s">
        <v>37</v>
      </c>
      <c r="G164" s="9" t="s">
        <v>48</v>
      </c>
      <c r="H164" s="17">
        <v>39297</v>
      </c>
      <c r="I164" s="17"/>
      <c r="J164" s="18"/>
      <c r="K164" s="122">
        <v>55.38</v>
      </c>
      <c r="L164" s="122">
        <v>27.69</v>
      </c>
      <c r="M164" s="122">
        <v>1.54</v>
      </c>
      <c r="N164" s="122">
        <v>413.28</v>
      </c>
      <c r="O164" s="122">
        <v>7.46</v>
      </c>
      <c r="P164" s="122">
        <f>AJ164*1000*AN164/100</f>
        <v>686.61971830985931</v>
      </c>
      <c r="Q164" s="122">
        <f>N164*P164/1000</f>
        <v>283.76619718309865</v>
      </c>
      <c r="R164" s="122">
        <f>K164*P164/1000</f>
        <v>38.025000000000006</v>
      </c>
      <c r="S164" s="122"/>
      <c r="T164" s="122">
        <f>$AJ164*1000*$AN164*0.01*$N164*0.001</f>
        <v>283.76619718309865</v>
      </c>
      <c r="U164" s="122">
        <f>$AJ164*1000*$AN164*0.01*$K164*0.001</f>
        <v>38.025000000000006</v>
      </c>
      <c r="V164" s="123"/>
      <c r="W164" s="122"/>
      <c r="X164" s="122"/>
      <c r="Y164" s="122"/>
      <c r="Z164" s="122"/>
      <c r="AG164" s="124">
        <v>1.42</v>
      </c>
      <c r="AH164" s="1">
        <v>50</v>
      </c>
      <c r="AI164" s="1"/>
      <c r="AJ164" s="124">
        <f t="shared" si="7"/>
        <v>35.211267605633807</v>
      </c>
      <c r="AK164" s="1" t="s">
        <v>5</v>
      </c>
      <c r="AL164" s="122"/>
      <c r="AM164" s="122"/>
      <c r="AN164" s="122">
        <v>1.95</v>
      </c>
      <c r="AO164" s="122">
        <v>25</v>
      </c>
      <c r="AP164" s="122">
        <v>21</v>
      </c>
      <c r="AQ164" s="122">
        <v>92</v>
      </c>
      <c r="AR164" s="122">
        <v>4</v>
      </c>
    </row>
    <row r="165" spans="1:44">
      <c r="A165" s="75">
        <v>164</v>
      </c>
      <c r="B165" s="112">
        <v>2007</v>
      </c>
      <c r="C165" s="117" t="s">
        <v>138</v>
      </c>
      <c r="D165" s="9" t="s">
        <v>108</v>
      </c>
      <c r="E165" s="9" t="s">
        <v>25</v>
      </c>
      <c r="F165" s="9" t="s">
        <v>35</v>
      </c>
      <c r="G165" s="34" t="s">
        <v>36</v>
      </c>
      <c r="H165" s="17">
        <v>39342</v>
      </c>
      <c r="I165" s="17">
        <v>39343</v>
      </c>
      <c r="J165" s="18">
        <v>5</v>
      </c>
      <c r="K165" s="122"/>
      <c r="L165" s="122"/>
      <c r="M165" s="122"/>
      <c r="N165" s="122"/>
      <c r="O165" s="122"/>
      <c r="P165" s="122"/>
      <c r="Q165" s="122"/>
      <c r="R165" s="122"/>
      <c r="S165" s="122">
        <f>AJ165*AM165*AN165*0.01</f>
        <v>1563.3802816901411</v>
      </c>
      <c r="T165" s="122">
        <f>S165*0.4089</f>
        <v>639.26619718309871</v>
      </c>
      <c r="U165" s="122">
        <f>S165*0.0263</f>
        <v>41.116901408450715</v>
      </c>
      <c r="V165" s="123"/>
      <c r="W165" s="122"/>
      <c r="X165" s="122"/>
      <c r="Y165" s="122"/>
      <c r="Z165" s="122"/>
      <c r="AG165" s="124">
        <v>1.42</v>
      </c>
      <c r="AH165" s="1">
        <v>2</v>
      </c>
      <c r="AI165" s="1"/>
      <c r="AJ165" s="124">
        <f t="shared" si="7"/>
        <v>1.4084507042253522</v>
      </c>
      <c r="AK165" s="1" t="s">
        <v>67</v>
      </c>
      <c r="AL165" s="122"/>
      <c r="AM165" s="122">
        <v>3000</v>
      </c>
      <c r="AN165" s="122">
        <v>37</v>
      </c>
      <c r="AO165" s="122"/>
      <c r="AP165" s="122"/>
      <c r="AQ165" s="122"/>
      <c r="AR165" s="122"/>
    </row>
    <row r="166" spans="1:44">
      <c r="A166" s="75">
        <v>165</v>
      </c>
      <c r="B166" s="112">
        <v>2007</v>
      </c>
      <c r="C166" s="117" t="s">
        <v>138</v>
      </c>
      <c r="D166" s="9" t="s">
        <v>108</v>
      </c>
      <c r="E166" s="9" t="s">
        <v>25</v>
      </c>
      <c r="F166" s="9" t="s">
        <v>35</v>
      </c>
      <c r="G166" s="9" t="s">
        <v>36</v>
      </c>
      <c r="H166" s="17">
        <v>39363</v>
      </c>
      <c r="I166" s="17">
        <v>39365</v>
      </c>
      <c r="J166" s="18">
        <v>6</v>
      </c>
      <c r="K166" s="122"/>
      <c r="L166" s="122"/>
      <c r="M166" s="122"/>
      <c r="N166" s="122"/>
      <c r="O166" s="122"/>
      <c r="P166" s="122"/>
      <c r="Q166" s="122"/>
      <c r="R166" s="122"/>
      <c r="S166" s="122">
        <f>AJ166*AM166*AN166*0.01</f>
        <v>961.47887323943678</v>
      </c>
      <c r="T166" s="122">
        <f>S166*0.4089</f>
        <v>393.14871126760568</v>
      </c>
      <c r="U166" s="122">
        <f>S166*0.0263</f>
        <v>25.286894366197188</v>
      </c>
      <c r="V166" s="123"/>
      <c r="W166" s="122"/>
      <c r="X166" s="122"/>
      <c r="Y166" s="122"/>
      <c r="Z166" s="122"/>
      <c r="AG166" s="124">
        <v>1.42</v>
      </c>
      <c r="AH166" s="1">
        <v>6</v>
      </c>
      <c r="AI166" s="1"/>
      <c r="AJ166" s="124">
        <f t="shared" si="7"/>
        <v>4.2253521126760569</v>
      </c>
      <c r="AK166" s="137" t="s">
        <v>70</v>
      </c>
      <c r="AL166" s="122"/>
      <c r="AM166" s="122">
        <v>615</v>
      </c>
      <c r="AN166" s="122">
        <v>37</v>
      </c>
      <c r="AO166" s="122"/>
      <c r="AP166" s="122"/>
      <c r="AQ166" s="122"/>
      <c r="AR166" s="122"/>
    </row>
    <row r="167" spans="1:44">
      <c r="A167" s="75">
        <v>166</v>
      </c>
      <c r="B167" s="112">
        <v>2007</v>
      </c>
      <c r="C167" s="117" t="s">
        <v>138</v>
      </c>
      <c r="D167" s="9" t="s">
        <v>108</v>
      </c>
      <c r="E167" s="9" t="s">
        <v>17</v>
      </c>
      <c r="F167" s="9" t="s">
        <v>37</v>
      </c>
      <c r="G167" s="9" t="s">
        <v>48</v>
      </c>
      <c r="H167" s="17">
        <v>39366</v>
      </c>
      <c r="I167" s="17"/>
      <c r="J167" s="18"/>
      <c r="K167" s="122">
        <v>60.08</v>
      </c>
      <c r="L167" s="122">
        <v>24.6</v>
      </c>
      <c r="M167" s="125" t="s">
        <v>62</v>
      </c>
      <c r="N167" s="122">
        <v>434.61</v>
      </c>
      <c r="O167" s="122">
        <v>7.23</v>
      </c>
      <c r="P167" s="122">
        <f>AJ167*1000*AN167/100</f>
        <v>873.2394366197185</v>
      </c>
      <c r="Q167" s="122">
        <f>N167*P167/1000</f>
        <v>379.51859154929588</v>
      </c>
      <c r="R167" s="122">
        <f>K167*P167/1000</f>
        <v>52.464225352112685</v>
      </c>
      <c r="S167" s="122"/>
      <c r="T167" s="122">
        <f>$AJ167*1000*$AN167*0.01*$N167*0.001</f>
        <v>379.51859154929588</v>
      </c>
      <c r="U167" s="122">
        <f>$AJ167*1000*$AN167*0.01*$K167*0.001</f>
        <v>52.464225352112685</v>
      </c>
      <c r="V167" s="123"/>
      <c r="W167" s="122"/>
      <c r="X167" s="122"/>
      <c r="Y167" s="122"/>
      <c r="Z167" s="122"/>
      <c r="AG167" s="124">
        <v>1.42</v>
      </c>
      <c r="AH167" s="1">
        <v>50</v>
      </c>
      <c r="AI167" s="1"/>
      <c r="AJ167" s="124">
        <f t="shared" si="7"/>
        <v>35.211267605633807</v>
      </c>
      <c r="AK167" s="1" t="s">
        <v>5</v>
      </c>
      <c r="AL167" s="122"/>
      <c r="AM167" s="122"/>
      <c r="AN167" s="122">
        <v>2.48</v>
      </c>
      <c r="AO167" s="122">
        <v>18</v>
      </c>
      <c r="AP167" s="122">
        <v>16</v>
      </c>
      <c r="AQ167" s="122">
        <v>70</v>
      </c>
      <c r="AR167" s="122">
        <v>4</v>
      </c>
    </row>
    <row r="168" spans="1:44">
      <c r="A168" s="75">
        <v>167</v>
      </c>
      <c r="B168" s="112">
        <v>2007</v>
      </c>
      <c r="C168" s="117" t="s">
        <v>138</v>
      </c>
      <c r="D168" s="9" t="s">
        <v>108</v>
      </c>
      <c r="E168" s="9" t="s">
        <v>25</v>
      </c>
      <c r="F168" s="9" t="s">
        <v>29</v>
      </c>
      <c r="G168" s="9" t="s">
        <v>47</v>
      </c>
      <c r="H168" s="17">
        <v>39392</v>
      </c>
      <c r="I168" s="17">
        <v>39398</v>
      </c>
      <c r="J168" s="18">
        <v>7</v>
      </c>
      <c r="K168" s="122"/>
      <c r="L168" s="122"/>
      <c r="M168" s="122"/>
      <c r="N168" s="122"/>
      <c r="O168" s="122"/>
      <c r="P168" s="122"/>
      <c r="Q168" s="122"/>
      <c r="R168" s="122"/>
      <c r="S168" s="122">
        <f>AJ168*AM168*AL168</f>
        <v>570.42253521126759</v>
      </c>
      <c r="T168" s="122">
        <f>$S168*0.4089</f>
        <v>233.24577464788732</v>
      </c>
      <c r="U168" s="122">
        <f>$S168*0.0263</f>
        <v>15.002112676056338</v>
      </c>
      <c r="V168" s="123"/>
      <c r="W168" s="122"/>
      <c r="X168" s="122"/>
      <c r="Y168" s="122"/>
      <c r="Z168" s="122"/>
      <c r="AG168" s="124">
        <v>1.42</v>
      </c>
      <c r="AH168" s="124">
        <v>90</v>
      </c>
      <c r="AI168" s="124"/>
      <c r="AJ168" s="124">
        <f t="shared" si="7"/>
        <v>63.380281690140848</v>
      </c>
      <c r="AK168" s="1" t="s">
        <v>66</v>
      </c>
      <c r="AL168" s="122">
        <v>6</v>
      </c>
      <c r="AM168" s="122">
        <v>1.5</v>
      </c>
      <c r="AN168" s="122"/>
      <c r="AO168" s="122"/>
      <c r="AP168" s="122"/>
      <c r="AQ168" s="122"/>
      <c r="AR168" s="122"/>
    </row>
    <row r="169" spans="1:44">
      <c r="A169" s="75">
        <v>168</v>
      </c>
      <c r="B169" s="112">
        <v>2007</v>
      </c>
      <c r="C169" s="117" t="s">
        <v>138</v>
      </c>
      <c r="D169" s="9" t="s">
        <v>108</v>
      </c>
      <c r="E169" s="9" t="s">
        <v>17</v>
      </c>
      <c r="F169" s="9" t="s">
        <v>37</v>
      </c>
      <c r="G169" s="9" t="s">
        <v>48</v>
      </c>
      <c r="H169" s="17">
        <v>39436</v>
      </c>
      <c r="I169" s="17"/>
      <c r="J169" s="18"/>
      <c r="K169" s="122">
        <v>41.88</v>
      </c>
      <c r="L169" s="122">
        <v>17.809999999999999</v>
      </c>
      <c r="M169" s="122">
        <v>0.4</v>
      </c>
      <c r="N169" s="122">
        <v>467.88</v>
      </c>
      <c r="O169" s="122">
        <v>11.17</v>
      </c>
      <c r="P169" s="122">
        <f>AJ169*1000*AN169/100</f>
        <v>2519.0140845070428</v>
      </c>
      <c r="Q169" s="122">
        <f>N169*P169/1000</f>
        <v>1178.5963098591551</v>
      </c>
      <c r="R169" s="122">
        <f>K169*P169/1000</f>
        <v>105.49630985915496</v>
      </c>
      <c r="S169" s="122"/>
      <c r="T169" s="122">
        <f>$AJ169*1000*$AN169*0.01*$N169*0.001</f>
        <v>1178.5963098591553</v>
      </c>
      <c r="U169" s="122">
        <f>$AJ169*1000*$AN169*0.01*$K169*0.001</f>
        <v>105.49630985915496</v>
      </c>
      <c r="V169" s="123"/>
      <c r="W169" s="122"/>
      <c r="X169" s="122"/>
      <c r="Y169" s="122"/>
      <c r="Z169" s="122"/>
      <c r="AG169" s="124">
        <v>1.42</v>
      </c>
      <c r="AH169" s="1">
        <v>70</v>
      </c>
      <c r="AI169" s="1"/>
      <c r="AJ169" s="124">
        <f t="shared" si="7"/>
        <v>49.295774647887328</v>
      </c>
      <c r="AK169" s="1" t="s">
        <v>5</v>
      </c>
      <c r="AL169" s="122"/>
      <c r="AM169" s="122"/>
      <c r="AN169" s="122">
        <v>5.1100000000000003</v>
      </c>
      <c r="AO169" s="122">
        <v>35</v>
      </c>
      <c r="AP169" s="122">
        <v>30</v>
      </c>
      <c r="AQ169" s="122">
        <v>128</v>
      </c>
      <c r="AR169" s="122">
        <v>5</v>
      </c>
    </row>
    <row r="170" spans="1:44">
      <c r="A170" s="75">
        <v>169</v>
      </c>
      <c r="B170" s="112">
        <v>2007</v>
      </c>
      <c r="C170" s="118" t="s">
        <v>139</v>
      </c>
      <c r="D170" s="9" t="s">
        <v>108</v>
      </c>
      <c r="E170" s="9" t="s">
        <v>25</v>
      </c>
      <c r="F170" s="9" t="s">
        <v>29</v>
      </c>
      <c r="G170" s="9" t="s">
        <v>47</v>
      </c>
      <c r="H170" s="17">
        <v>39180</v>
      </c>
      <c r="I170" s="17">
        <v>39190</v>
      </c>
      <c r="J170" s="18">
        <v>1</v>
      </c>
      <c r="K170" s="122"/>
      <c r="L170" s="122"/>
      <c r="M170" s="122"/>
      <c r="N170" s="122"/>
      <c r="O170" s="122"/>
      <c r="P170" s="122"/>
      <c r="Q170" s="122"/>
      <c r="R170" s="122"/>
      <c r="S170" s="122">
        <f>AJ170*AM170*AL170</f>
        <v>690.18404907975469</v>
      </c>
      <c r="T170" s="122">
        <f>$S170*0.4089</f>
        <v>282.21625766871171</v>
      </c>
      <c r="U170" s="122">
        <f>$S170*0.0263</f>
        <v>18.15184049079755</v>
      </c>
      <c r="V170" s="123"/>
      <c r="W170" s="122"/>
      <c r="X170" s="122"/>
      <c r="Y170" s="122"/>
      <c r="Z170" s="122"/>
      <c r="AG170" s="124">
        <v>3.26</v>
      </c>
      <c r="AH170" s="124">
        <v>150</v>
      </c>
      <c r="AI170" s="124"/>
      <c r="AJ170" s="124">
        <f t="shared" si="7"/>
        <v>46.012269938650313</v>
      </c>
      <c r="AK170" s="1" t="s">
        <v>66</v>
      </c>
      <c r="AL170" s="122">
        <v>10</v>
      </c>
      <c r="AM170" s="122">
        <v>1.5</v>
      </c>
      <c r="AN170" s="122"/>
      <c r="AO170" s="122"/>
      <c r="AP170" s="122"/>
      <c r="AQ170" s="122"/>
      <c r="AR170" s="122"/>
    </row>
    <row r="171" spans="1:44">
      <c r="A171" s="75">
        <v>170</v>
      </c>
      <c r="B171" s="112">
        <v>2007</v>
      </c>
      <c r="C171" s="118" t="s">
        <v>139</v>
      </c>
      <c r="D171" s="9" t="s">
        <v>108</v>
      </c>
      <c r="E171" s="9" t="s">
        <v>23</v>
      </c>
      <c r="F171" s="9" t="s">
        <v>38</v>
      </c>
      <c r="G171" s="9" t="s">
        <v>50</v>
      </c>
      <c r="H171" s="17">
        <v>39183</v>
      </c>
      <c r="I171" s="17"/>
      <c r="J171" s="18"/>
      <c r="K171" s="122"/>
      <c r="L171" s="122"/>
      <c r="M171" s="122"/>
      <c r="N171" s="122"/>
      <c r="O171" s="122"/>
      <c r="P171" s="122"/>
      <c r="Q171" s="122"/>
      <c r="R171" s="122"/>
      <c r="S171" s="122"/>
      <c r="T171" s="122"/>
      <c r="U171" s="122"/>
      <c r="V171" s="123"/>
      <c r="W171" s="122"/>
      <c r="X171" s="122"/>
      <c r="Y171" s="122"/>
      <c r="Z171" s="122"/>
      <c r="AG171" s="124">
        <v>3.26</v>
      </c>
      <c r="AH171" s="1">
        <v>20</v>
      </c>
      <c r="AI171" s="1"/>
      <c r="AJ171" s="124">
        <f t="shared" si="7"/>
        <v>6.1349693251533743</v>
      </c>
      <c r="AK171" s="1" t="s">
        <v>3</v>
      </c>
      <c r="AL171" s="122"/>
      <c r="AM171" s="122"/>
      <c r="AN171" s="122"/>
      <c r="AO171" s="122"/>
      <c r="AP171" s="122"/>
      <c r="AQ171" s="122"/>
      <c r="AR171" s="122"/>
    </row>
    <row r="172" spans="1:44">
      <c r="A172" s="75">
        <v>171</v>
      </c>
      <c r="B172" s="112">
        <v>2007</v>
      </c>
      <c r="C172" s="118" t="s">
        <v>139</v>
      </c>
      <c r="D172" s="9" t="s">
        <v>108</v>
      </c>
      <c r="E172" s="9" t="s">
        <v>25</v>
      </c>
      <c r="F172" s="9" t="s">
        <v>35</v>
      </c>
      <c r="G172" s="9" t="s">
        <v>36</v>
      </c>
      <c r="H172" s="17">
        <v>39188</v>
      </c>
      <c r="I172" s="17">
        <v>39189</v>
      </c>
      <c r="J172" s="18">
        <v>1</v>
      </c>
      <c r="K172" s="122"/>
      <c r="L172" s="122"/>
      <c r="M172" s="122"/>
      <c r="N172" s="122"/>
      <c r="O172" s="122"/>
      <c r="P172" s="122"/>
      <c r="Q172" s="122"/>
      <c r="R172" s="122"/>
      <c r="S172" s="122">
        <f>AJ172*AM172*AN172*0.01</f>
        <v>340.49079754601229</v>
      </c>
      <c r="T172" s="122">
        <f>S172*0.4089</f>
        <v>139.22668711656442</v>
      </c>
      <c r="U172" s="122">
        <f>S172*0.0263</f>
        <v>8.9549079754601237</v>
      </c>
      <c r="V172" s="123"/>
      <c r="W172" s="122"/>
      <c r="X172" s="122"/>
      <c r="Y172" s="122"/>
      <c r="Z172" s="122"/>
      <c r="AG172" s="124">
        <v>3.26</v>
      </c>
      <c r="AH172" s="1">
        <v>1</v>
      </c>
      <c r="AI172" s="1"/>
      <c r="AJ172" s="124">
        <f t="shared" si="7"/>
        <v>0.30674846625766872</v>
      </c>
      <c r="AK172" s="1" t="s">
        <v>67</v>
      </c>
      <c r="AL172" s="122"/>
      <c r="AM172" s="122">
        <v>3000</v>
      </c>
      <c r="AN172" s="122">
        <v>37</v>
      </c>
      <c r="AO172" s="122"/>
      <c r="AP172" s="122"/>
      <c r="AQ172" s="122"/>
      <c r="AR172" s="122"/>
    </row>
    <row r="173" spans="1:44">
      <c r="A173" s="75">
        <v>172</v>
      </c>
      <c r="B173" s="112">
        <v>2007</v>
      </c>
      <c r="C173" s="118" t="s">
        <v>139</v>
      </c>
      <c r="D173" s="9" t="s">
        <v>108</v>
      </c>
      <c r="E173" s="9" t="s">
        <v>23</v>
      </c>
      <c r="F173" s="9" t="s">
        <v>38</v>
      </c>
      <c r="G173" s="9" t="s">
        <v>50</v>
      </c>
      <c r="H173" s="17">
        <v>39191</v>
      </c>
      <c r="I173" s="17"/>
      <c r="J173" s="18"/>
      <c r="K173" s="122"/>
      <c r="L173" s="122"/>
      <c r="M173" s="122"/>
      <c r="N173" s="122"/>
      <c r="O173" s="122"/>
      <c r="P173" s="122"/>
      <c r="Q173" s="122"/>
      <c r="R173" s="122"/>
      <c r="S173" s="122"/>
      <c r="T173" s="122"/>
      <c r="U173" s="122"/>
      <c r="V173" s="123"/>
      <c r="W173" s="122"/>
      <c r="X173" s="122"/>
      <c r="Y173" s="122"/>
      <c r="Z173" s="122"/>
      <c r="AG173" s="124">
        <v>3.26</v>
      </c>
      <c r="AH173" s="1">
        <v>10</v>
      </c>
      <c r="AI173" s="1"/>
      <c r="AJ173" s="124">
        <f t="shared" si="7"/>
        <v>3.0674846625766872</v>
      </c>
      <c r="AK173" s="1" t="s">
        <v>3</v>
      </c>
      <c r="AL173" s="122"/>
      <c r="AM173" s="122"/>
      <c r="AN173" s="122"/>
      <c r="AO173" s="122"/>
      <c r="AP173" s="122"/>
      <c r="AQ173" s="122"/>
      <c r="AR173" s="122"/>
    </row>
    <row r="174" spans="1:44">
      <c r="A174" s="75">
        <v>173</v>
      </c>
      <c r="B174" s="112">
        <v>2007</v>
      </c>
      <c r="C174" s="118" t="s">
        <v>139</v>
      </c>
      <c r="D174" s="9" t="s">
        <v>108</v>
      </c>
      <c r="E174" s="9" t="s">
        <v>25</v>
      </c>
      <c r="F174" s="9" t="s">
        <v>35</v>
      </c>
      <c r="G174" s="9" t="s">
        <v>36</v>
      </c>
      <c r="H174" s="17">
        <v>39224</v>
      </c>
      <c r="I174" s="17">
        <v>39225</v>
      </c>
      <c r="J174" s="18">
        <v>2</v>
      </c>
      <c r="K174" s="122"/>
      <c r="L174" s="122"/>
      <c r="M174" s="122"/>
      <c r="N174" s="122"/>
      <c r="O174" s="122"/>
      <c r="P174" s="122"/>
      <c r="Q174" s="122"/>
      <c r="R174" s="122"/>
      <c r="S174" s="122">
        <f>AJ174*AM174*AN174*0.01</f>
        <v>1361.9631901840492</v>
      </c>
      <c r="T174" s="122">
        <f>S174*0.4089</f>
        <v>556.90674846625768</v>
      </c>
      <c r="U174" s="122">
        <f>S174*0.0263</f>
        <v>35.819631901840495</v>
      </c>
      <c r="V174" s="123"/>
      <c r="W174" s="122"/>
      <c r="X174" s="122"/>
      <c r="Y174" s="122"/>
      <c r="Z174" s="122"/>
      <c r="AG174" s="124">
        <v>3.26</v>
      </c>
      <c r="AH174" s="1">
        <v>4</v>
      </c>
      <c r="AI174" s="1"/>
      <c r="AJ174" s="124">
        <f t="shared" si="7"/>
        <v>1.2269938650306749</v>
      </c>
      <c r="AK174" s="1" t="s">
        <v>67</v>
      </c>
      <c r="AL174" s="122"/>
      <c r="AM174" s="122">
        <v>3000</v>
      </c>
      <c r="AN174" s="122">
        <v>37</v>
      </c>
      <c r="AO174" s="122"/>
      <c r="AP174" s="122"/>
      <c r="AQ174" s="122"/>
      <c r="AR174" s="122"/>
    </row>
    <row r="175" spans="1:44">
      <c r="A175" s="75">
        <v>174</v>
      </c>
      <c r="B175" s="112">
        <v>2007</v>
      </c>
      <c r="C175" s="118" t="s">
        <v>139</v>
      </c>
      <c r="D175" s="9" t="s">
        <v>108</v>
      </c>
      <c r="E175" s="9" t="s">
        <v>17</v>
      </c>
      <c r="F175" s="9" t="s">
        <v>37</v>
      </c>
      <c r="G175" s="9" t="s">
        <v>48</v>
      </c>
      <c r="H175" s="17">
        <v>39233</v>
      </c>
      <c r="I175" s="17"/>
      <c r="J175" s="18"/>
      <c r="K175" s="122">
        <v>34.61</v>
      </c>
      <c r="L175" s="122">
        <v>16.77</v>
      </c>
      <c r="M175" s="122" t="s">
        <v>62</v>
      </c>
      <c r="N175" s="122">
        <v>477.74</v>
      </c>
      <c r="O175" s="122">
        <v>13.8</v>
      </c>
      <c r="P175" s="122">
        <f>AJ175*1000*AN175/100</f>
        <v>1300.3067484662577</v>
      </c>
      <c r="Q175" s="122">
        <f>N175*P175/1000</f>
        <v>621.20854601226995</v>
      </c>
      <c r="R175" s="122">
        <f>K175*P175/1000</f>
        <v>45.003616564417179</v>
      </c>
      <c r="S175" s="122"/>
      <c r="T175" s="122">
        <f>$AJ175*1000*$AN175*0.01*$N175*0.001</f>
        <v>621.20854601226995</v>
      </c>
      <c r="U175" s="122">
        <f>$AJ175*1000*$AN175*0.01*$K175*0.001</f>
        <v>45.003616564417179</v>
      </c>
      <c r="V175" s="123"/>
      <c r="W175" s="122"/>
      <c r="X175" s="122"/>
      <c r="Y175" s="122"/>
      <c r="Z175" s="122"/>
      <c r="AG175" s="124">
        <v>3.26</v>
      </c>
      <c r="AH175" s="1">
        <v>90</v>
      </c>
      <c r="AI175" s="1"/>
      <c r="AJ175" s="124">
        <f t="shared" si="7"/>
        <v>27.607361963190186</v>
      </c>
      <c r="AK175" s="1" t="s">
        <v>5</v>
      </c>
      <c r="AL175" s="122"/>
      <c r="AM175" s="122"/>
      <c r="AN175" s="122">
        <v>4.71</v>
      </c>
      <c r="AO175" s="122">
        <v>19.325153374233128</v>
      </c>
      <c r="AP175" s="122">
        <v>16.564417177914113</v>
      </c>
      <c r="AQ175" s="122">
        <v>71.779141104294482</v>
      </c>
      <c r="AR175" s="122">
        <v>2.7607361963190185</v>
      </c>
    </row>
    <row r="176" spans="1:44">
      <c r="A176" s="75">
        <v>175</v>
      </c>
      <c r="B176" s="112">
        <v>2007</v>
      </c>
      <c r="C176" s="118" t="s">
        <v>139</v>
      </c>
      <c r="D176" s="9" t="s">
        <v>108</v>
      </c>
      <c r="E176" s="9" t="s">
        <v>25</v>
      </c>
      <c r="F176" s="9" t="s">
        <v>35</v>
      </c>
      <c r="G176" s="33" t="s">
        <v>43</v>
      </c>
      <c r="H176" s="17">
        <v>39262</v>
      </c>
      <c r="I176" s="17">
        <v>39263</v>
      </c>
      <c r="J176" s="18">
        <v>3</v>
      </c>
      <c r="K176" s="122"/>
      <c r="L176" s="122"/>
      <c r="M176" s="122"/>
      <c r="N176" s="122"/>
      <c r="O176" s="122"/>
      <c r="P176" s="122"/>
      <c r="Q176" s="122"/>
      <c r="R176" s="122"/>
      <c r="S176" s="122">
        <f>AJ176*AM176*AN176*0.01</f>
        <v>1932.515337423313</v>
      </c>
      <c r="T176" s="122">
        <f>S176*0.4089</f>
        <v>790.20552147239266</v>
      </c>
      <c r="U176" s="122">
        <f>S176*0.0263</f>
        <v>50.825153374233132</v>
      </c>
      <c r="V176" s="123"/>
      <c r="W176" s="122"/>
      <c r="X176" s="122"/>
      <c r="Y176" s="122"/>
      <c r="Z176" s="122"/>
      <c r="AG176" s="124">
        <v>3.26</v>
      </c>
      <c r="AH176" s="1">
        <v>6</v>
      </c>
      <c r="AI176" s="1"/>
      <c r="AJ176" s="124">
        <f t="shared" si="7"/>
        <v>1.8404907975460123</v>
      </c>
      <c r="AK176" s="1" t="s">
        <v>67</v>
      </c>
      <c r="AL176" s="122"/>
      <c r="AM176" s="122">
        <v>1500</v>
      </c>
      <c r="AN176" s="122">
        <v>70</v>
      </c>
      <c r="AO176" s="122"/>
      <c r="AP176" s="122"/>
      <c r="AQ176" s="122"/>
      <c r="AR176" s="122"/>
    </row>
    <row r="177" spans="1:44">
      <c r="A177" s="75">
        <v>176</v>
      </c>
      <c r="B177" s="112">
        <v>2007</v>
      </c>
      <c r="C177" s="118" t="s">
        <v>139</v>
      </c>
      <c r="D177" s="9" t="s">
        <v>108</v>
      </c>
      <c r="E177" s="9" t="s">
        <v>17</v>
      </c>
      <c r="F177" s="9" t="s">
        <v>37</v>
      </c>
      <c r="G177" s="9" t="s">
        <v>48</v>
      </c>
      <c r="H177" s="17">
        <v>39269</v>
      </c>
      <c r="I177" s="17"/>
      <c r="J177" s="18"/>
      <c r="K177" s="122">
        <v>49.32</v>
      </c>
      <c r="L177" s="122">
        <v>18.899999999999999</v>
      </c>
      <c r="M177" s="125" t="s">
        <v>62</v>
      </c>
      <c r="N177" s="122">
        <v>465.33</v>
      </c>
      <c r="O177" s="122">
        <v>9.44</v>
      </c>
      <c r="P177" s="122">
        <f>AJ177*1000*AN177/100</f>
        <v>1455.5214723926381</v>
      </c>
      <c r="Q177" s="122">
        <f>N177*P177/1000</f>
        <v>677.2978067484662</v>
      </c>
      <c r="R177" s="122">
        <f>K177*P177/1000</f>
        <v>71.78631901840491</v>
      </c>
      <c r="S177" s="122"/>
      <c r="T177" s="122">
        <f>$AJ177*1000*$AN177*0.01*$N177*0.001</f>
        <v>677.2978067484662</v>
      </c>
      <c r="U177" s="122">
        <f>$AJ177*1000*$AN177*0.01*$K177*0.001</f>
        <v>71.786319018404924</v>
      </c>
      <c r="V177" s="123"/>
      <c r="W177" s="122"/>
      <c r="X177" s="122"/>
      <c r="Y177" s="122"/>
      <c r="Z177" s="122"/>
      <c r="AG177" s="124">
        <v>3.26</v>
      </c>
      <c r="AH177" s="1">
        <v>130</v>
      </c>
      <c r="AI177" s="1"/>
      <c r="AJ177" s="124">
        <f t="shared" si="7"/>
        <v>39.877300613496935</v>
      </c>
      <c r="AK177" s="1" t="s">
        <v>5</v>
      </c>
      <c r="AL177" s="122"/>
      <c r="AM177" s="122"/>
      <c r="AN177" s="122">
        <v>3.65</v>
      </c>
      <c r="AO177" s="122">
        <v>27.914110429447856</v>
      </c>
      <c r="AP177" s="122">
        <v>23.926380368098162</v>
      </c>
      <c r="AQ177" s="122">
        <v>103.68098159509204</v>
      </c>
      <c r="AR177" s="122">
        <v>3.9877300613496933</v>
      </c>
    </row>
    <row r="178" spans="1:44">
      <c r="A178" s="75">
        <v>177</v>
      </c>
      <c r="B178" s="112">
        <v>2007</v>
      </c>
      <c r="C178" s="118" t="s">
        <v>139</v>
      </c>
      <c r="D178" s="9" t="s">
        <v>108</v>
      </c>
      <c r="E178" s="9" t="s">
        <v>25</v>
      </c>
      <c r="F178" s="9" t="s">
        <v>35</v>
      </c>
      <c r="G178" s="9" t="s">
        <v>36</v>
      </c>
      <c r="H178" s="17">
        <v>39294</v>
      </c>
      <c r="I178" s="17">
        <v>39295</v>
      </c>
      <c r="J178" s="18">
        <v>4</v>
      </c>
      <c r="K178" s="122"/>
      <c r="L178" s="122"/>
      <c r="M178" s="122"/>
      <c r="N178" s="122"/>
      <c r="O178" s="122"/>
      <c r="P178" s="122"/>
      <c r="Q178" s="122"/>
      <c r="R178" s="122"/>
      <c r="S178" s="122">
        <f>AJ178*AM178*AN178*0.01</f>
        <v>680.98159509202458</v>
      </c>
      <c r="T178" s="122">
        <f>S178*0.4089</f>
        <v>278.45337423312884</v>
      </c>
      <c r="U178" s="122">
        <f>S178*0.0263</f>
        <v>17.909815950920247</v>
      </c>
      <c r="V178" s="123"/>
      <c r="W178" s="122"/>
      <c r="X178" s="122"/>
      <c r="Y178" s="122"/>
      <c r="Z178" s="122"/>
      <c r="AG178" s="124">
        <v>3.26</v>
      </c>
      <c r="AH178" s="1">
        <v>2</v>
      </c>
      <c r="AI178" s="1"/>
      <c r="AJ178" s="124">
        <f t="shared" si="7"/>
        <v>0.61349693251533743</v>
      </c>
      <c r="AK178" s="1" t="s">
        <v>67</v>
      </c>
      <c r="AL178" s="122"/>
      <c r="AM178" s="122">
        <v>3000</v>
      </c>
      <c r="AN178" s="122">
        <v>37</v>
      </c>
      <c r="AO178" s="122"/>
      <c r="AP178" s="122"/>
      <c r="AQ178" s="122"/>
      <c r="AR178" s="122"/>
    </row>
    <row r="179" spans="1:44">
      <c r="A179" s="75">
        <v>178</v>
      </c>
      <c r="B179" s="112">
        <v>2007</v>
      </c>
      <c r="C179" s="118" t="s">
        <v>139</v>
      </c>
      <c r="D179" s="9" t="s">
        <v>108</v>
      </c>
      <c r="E179" s="9" t="s">
        <v>17</v>
      </c>
      <c r="F179" s="9" t="s">
        <v>37</v>
      </c>
      <c r="G179" s="34" t="s">
        <v>48</v>
      </c>
      <c r="H179" s="17">
        <v>39297</v>
      </c>
      <c r="I179" s="17"/>
      <c r="J179" s="18"/>
      <c r="K179" s="122">
        <v>55.43</v>
      </c>
      <c r="L179" s="122">
        <v>21.41</v>
      </c>
      <c r="M179" s="125" t="s">
        <v>62</v>
      </c>
      <c r="N179" s="122">
        <v>457.68</v>
      </c>
      <c r="O179" s="122">
        <v>8.26</v>
      </c>
      <c r="P179" s="122">
        <f>AJ179*1000*AN179/100</f>
        <v>1046.0122699386504</v>
      </c>
      <c r="Q179" s="122">
        <f>N179*P179/1000</f>
        <v>478.73889570552149</v>
      </c>
      <c r="R179" s="122">
        <f>K179*P179/1000</f>
        <v>57.980460122699391</v>
      </c>
      <c r="S179" s="122"/>
      <c r="T179" s="122">
        <f>$AJ179*1000*$AN179*0.01*$N179*0.001</f>
        <v>478.73889570552154</v>
      </c>
      <c r="U179" s="122">
        <f>$AJ179*1000*$AN179*0.01*$K179*0.001</f>
        <v>57.980460122699391</v>
      </c>
      <c r="V179" s="123"/>
      <c r="W179" s="122"/>
      <c r="X179" s="122"/>
      <c r="Y179" s="122"/>
      <c r="Z179" s="122"/>
      <c r="AG179" s="124">
        <v>3.26</v>
      </c>
      <c r="AH179" s="1">
        <v>100</v>
      </c>
      <c r="AI179" s="1"/>
      <c r="AJ179" s="124">
        <f t="shared" si="7"/>
        <v>30.674846625766872</v>
      </c>
      <c r="AK179" s="1" t="s">
        <v>5</v>
      </c>
      <c r="AL179" s="122"/>
      <c r="AM179" s="122"/>
      <c r="AN179" s="122">
        <v>3.41</v>
      </c>
      <c r="AO179" s="122">
        <v>21.472392638036812</v>
      </c>
      <c r="AP179" s="122">
        <v>18.404907975460123</v>
      </c>
      <c r="AQ179" s="122">
        <v>79.75460122699387</v>
      </c>
      <c r="AR179" s="122">
        <v>3.0674846625766872</v>
      </c>
    </row>
    <row r="180" spans="1:44">
      <c r="A180" s="75">
        <v>179</v>
      </c>
      <c r="B180" s="112">
        <v>2007</v>
      </c>
      <c r="C180" s="118" t="s">
        <v>139</v>
      </c>
      <c r="D180" s="9" t="s">
        <v>108</v>
      </c>
      <c r="E180" s="9" t="s">
        <v>25</v>
      </c>
      <c r="F180" s="9" t="s">
        <v>35</v>
      </c>
      <c r="G180" s="9" t="s">
        <v>36</v>
      </c>
      <c r="H180" s="17">
        <v>39321</v>
      </c>
      <c r="I180" s="17">
        <v>39322</v>
      </c>
      <c r="J180" s="18">
        <v>5</v>
      </c>
      <c r="K180" s="122"/>
      <c r="L180" s="122"/>
      <c r="M180" s="122"/>
      <c r="N180" s="122"/>
      <c r="O180" s="122"/>
      <c r="P180" s="122"/>
      <c r="Q180" s="122"/>
      <c r="R180" s="122"/>
      <c r="S180" s="122">
        <f>AJ180*AM180*AN180*0.01</f>
        <v>558.40490797546011</v>
      </c>
      <c r="T180" s="122">
        <f>S180*0.4089</f>
        <v>228.33176687116563</v>
      </c>
      <c r="U180" s="122">
        <f>S180*0.0263</f>
        <v>14.686049079754602</v>
      </c>
      <c r="V180" s="123"/>
      <c r="W180" s="122"/>
      <c r="X180" s="122"/>
      <c r="Y180" s="122"/>
      <c r="Z180" s="122"/>
      <c r="AG180" s="124">
        <v>3.26</v>
      </c>
      <c r="AH180" s="1">
        <v>8</v>
      </c>
      <c r="AI180" s="1"/>
      <c r="AJ180" s="124">
        <f t="shared" si="7"/>
        <v>2.4539877300613497</v>
      </c>
      <c r="AK180" s="137" t="s">
        <v>70</v>
      </c>
      <c r="AL180" s="122"/>
      <c r="AM180" s="122">
        <v>615</v>
      </c>
      <c r="AN180" s="122">
        <v>37</v>
      </c>
      <c r="AO180" s="122"/>
      <c r="AP180" s="122"/>
      <c r="AQ180" s="122"/>
      <c r="AR180" s="122"/>
    </row>
    <row r="181" spans="1:44">
      <c r="A181" s="75">
        <v>180</v>
      </c>
      <c r="B181" s="112">
        <v>2007</v>
      </c>
      <c r="C181" s="118" t="s">
        <v>139</v>
      </c>
      <c r="D181" s="9" t="s">
        <v>108</v>
      </c>
      <c r="E181" s="9" t="s">
        <v>25</v>
      </c>
      <c r="F181" s="9" t="s">
        <v>35</v>
      </c>
      <c r="G181" s="9" t="s">
        <v>36</v>
      </c>
      <c r="H181" s="17">
        <v>39342</v>
      </c>
      <c r="I181" s="17">
        <v>39343</v>
      </c>
      <c r="J181" s="18">
        <v>6</v>
      </c>
      <c r="K181" s="122"/>
      <c r="L181" s="122"/>
      <c r="M181" s="122"/>
      <c r="N181" s="122"/>
      <c r="O181" s="122"/>
      <c r="P181" s="122"/>
      <c r="Q181" s="122"/>
      <c r="R181" s="122"/>
      <c r="S181" s="122">
        <f>AJ181*AM181*AN181*0.01</f>
        <v>680.98159509202458</v>
      </c>
      <c r="T181" s="122">
        <f>S181*0.4089</f>
        <v>278.45337423312884</v>
      </c>
      <c r="U181" s="122">
        <f>S181*0.0263</f>
        <v>17.909815950920247</v>
      </c>
      <c r="V181" s="123"/>
      <c r="W181" s="122"/>
      <c r="X181" s="122"/>
      <c r="Y181" s="122"/>
      <c r="Z181" s="122"/>
      <c r="AG181" s="124">
        <v>3.26</v>
      </c>
      <c r="AH181" s="1">
        <v>2</v>
      </c>
      <c r="AI181" s="1"/>
      <c r="AJ181" s="124">
        <f t="shared" si="7"/>
        <v>0.61349693251533743</v>
      </c>
      <c r="AK181" s="1" t="s">
        <v>67</v>
      </c>
      <c r="AL181" s="122"/>
      <c r="AM181" s="122">
        <v>3000</v>
      </c>
      <c r="AN181" s="122">
        <v>37</v>
      </c>
      <c r="AO181" s="122"/>
      <c r="AP181" s="122"/>
      <c r="AQ181" s="122"/>
      <c r="AR181" s="122"/>
    </row>
    <row r="182" spans="1:44">
      <c r="A182" s="75">
        <v>181</v>
      </c>
      <c r="B182" s="112">
        <v>2007</v>
      </c>
      <c r="C182" s="118" t="s">
        <v>139</v>
      </c>
      <c r="D182" s="9" t="s">
        <v>108</v>
      </c>
      <c r="E182" s="9" t="s">
        <v>25</v>
      </c>
      <c r="F182" s="9" t="s">
        <v>35</v>
      </c>
      <c r="G182" s="9" t="s">
        <v>36</v>
      </c>
      <c r="H182" s="17">
        <v>39363</v>
      </c>
      <c r="I182" s="17">
        <v>39365</v>
      </c>
      <c r="J182" s="18">
        <v>7</v>
      </c>
      <c r="K182" s="122"/>
      <c r="L182" s="122"/>
      <c r="M182" s="122"/>
      <c r="N182" s="122"/>
      <c r="O182" s="122"/>
      <c r="P182" s="122"/>
      <c r="Q182" s="122"/>
      <c r="R182" s="122"/>
      <c r="S182" s="122">
        <f>AJ182*AM182*AN182*0.01</f>
        <v>767.80674846625777</v>
      </c>
      <c r="T182" s="122">
        <f>S182*0.4089</f>
        <v>313.95617944785278</v>
      </c>
      <c r="U182" s="122">
        <f>S182*0.0263</f>
        <v>20.193317484662579</v>
      </c>
      <c r="V182" s="123"/>
      <c r="W182" s="122"/>
      <c r="X182" s="122"/>
      <c r="Y182" s="122"/>
      <c r="Z182" s="122"/>
      <c r="AG182" s="124">
        <v>3.26</v>
      </c>
      <c r="AH182" s="1">
        <v>11</v>
      </c>
      <c r="AI182" s="1"/>
      <c r="AJ182" s="124">
        <f t="shared" si="7"/>
        <v>3.3742331288343559</v>
      </c>
      <c r="AK182" s="137" t="s">
        <v>70</v>
      </c>
      <c r="AL182" s="122"/>
      <c r="AM182" s="122">
        <v>615</v>
      </c>
      <c r="AN182" s="122">
        <v>37</v>
      </c>
      <c r="AO182" s="122"/>
      <c r="AP182" s="122"/>
      <c r="AQ182" s="122"/>
      <c r="AR182" s="122"/>
    </row>
    <row r="183" spans="1:44">
      <c r="A183" s="75">
        <v>182</v>
      </c>
      <c r="B183" s="112">
        <v>2007</v>
      </c>
      <c r="C183" s="118" t="s">
        <v>139</v>
      </c>
      <c r="D183" s="9" t="s">
        <v>108</v>
      </c>
      <c r="E183" s="9" t="s">
        <v>17</v>
      </c>
      <c r="F183" s="9" t="s">
        <v>37</v>
      </c>
      <c r="G183" s="9" t="s">
        <v>48</v>
      </c>
      <c r="H183" s="17">
        <v>39366</v>
      </c>
      <c r="I183" s="17"/>
      <c r="J183" s="18"/>
      <c r="K183" s="122">
        <v>27.63</v>
      </c>
      <c r="L183" s="122">
        <v>19.47</v>
      </c>
      <c r="M183" s="122" t="s">
        <v>62</v>
      </c>
      <c r="N183" s="122">
        <v>464.93</v>
      </c>
      <c r="O183" s="122">
        <v>16.829999999999998</v>
      </c>
      <c r="P183" s="122">
        <f>AJ183*1000*AN183/100</f>
        <v>699.38650306748457</v>
      </c>
      <c r="Q183" s="122">
        <f>N183*P183/1000</f>
        <v>325.1657668711656</v>
      </c>
      <c r="R183" s="122">
        <f>K183*P183/1000</f>
        <v>19.324049079754598</v>
      </c>
      <c r="S183" s="122"/>
      <c r="T183" s="122">
        <f>$AJ183*1000*$AN183*0.01*$N183*0.001</f>
        <v>325.1657668711656</v>
      </c>
      <c r="U183" s="122">
        <f>$AJ183*1000*$AN183*0.01*$K183*0.001</f>
        <v>19.324049079754598</v>
      </c>
      <c r="V183" s="123"/>
      <c r="W183" s="122"/>
      <c r="X183" s="122"/>
      <c r="Y183" s="122"/>
      <c r="Z183" s="122"/>
      <c r="AG183" s="124">
        <v>3.26</v>
      </c>
      <c r="AH183" s="1">
        <v>60</v>
      </c>
      <c r="AI183" s="1"/>
      <c r="AJ183" s="124">
        <f t="shared" si="7"/>
        <v>18.404907975460123</v>
      </c>
      <c r="AK183" s="1" t="s">
        <v>5</v>
      </c>
      <c r="AL183" s="122"/>
      <c r="AM183" s="122"/>
      <c r="AN183" s="122">
        <v>3.8</v>
      </c>
      <c r="AO183" s="122">
        <v>9.2024539877300615</v>
      </c>
      <c r="AP183" s="122">
        <v>8.2822085889570563</v>
      </c>
      <c r="AQ183" s="122">
        <v>36.809815950920246</v>
      </c>
      <c r="AR183" s="122">
        <v>1.8404907975460123</v>
      </c>
    </row>
    <row r="184" spans="1:44">
      <c r="A184" s="75">
        <v>183</v>
      </c>
      <c r="B184" s="112">
        <v>2007</v>
      </c>
      <c r="C184" s="118" t="s">
        <v>139</v>
      </c>
      <c r="D184" s="9" t="s">
        <v>108</v>
      </c>
      <c r="E184" s="9" t="s">
        <v>25</v>
      </c>
      <c r="F184" s="9" t="s">
        <v>29</v>
      </c>
      <c r="G184" s="9" t="s">
        <v>47</v>
      </c>
      <c r="H184" s="17">
        <v>39382</v>
      </c>
      <c r="I184" s="17">
        <v>39392</v>
      </c>
      <c r="J184" s="18">
        <v>8</v>
      </c>
      <c r="K184" s="122"/>
      <c r="L184" s="122"/>
      <c r="M184" s="122"/>
      <c r="N184" s="122"/>
      <c r="O184" s="122"/>
      <c r="P184" s="122"/>
      <c r="Q184" s="122"/>
      <c r="R184" s="122"/>
      <c r="S184" s="122">
        <f>AJ184*AM184*AL184</f>
        <v>414.11042944785277</v>
      </c>
      <c r="T184" s="122">
        <f>$S184*0.4089</f>
        <v>169.32975460122699</v>
      </c>
      <c r="U184" s="122">
        <f>$S184*0.0263</f>
        <v>10.891104294478527</v>
      </c>
      <c r="V184" s="123"/>
      <c r="W184" s="122"/>
      <c r="X184" s="122"/>
      <c r="Y184" s="122"/>
      <c r="Z184" s="122"/>
      <c r="AG184" s="124">
        <v>3.26</v>
      </c>
      <c r="AH184" s="124">
        <v>90</v>
      </c>
      <c r="AI184" s="124"/>
      <c r="AJ184" s="124">
        <f t="shared" si="7"/>
        <v>27.607361963190186</v>
      </c>
      <c r="AK184" s="1" t="s">
        <v>66</v>
      </c>
      <c r="AL184" s="122">
        <v>10</v>
      </c>
      <c r="AM184" s="122">
        <v>1.5</v>
      </c>
      <c r="AN184" s="122"/>
      <c r="AO184" s="122"/>
      <c r="AP184" s="122"/>
      <c r="AQ184" s="122"/>
      <c r="AR184" s="122"/>
    </row>
    <row r="185" spans="1:44">
      <c r="A185" s="75">
        <v>184</v>
      </c>
      <c r="B185" s="112">
        <v>2007</v>
      </c>
      <c r="C185" s="118" t="s">
        <v>139</v>
      </c>
      <c r="D185" s="9" t="s">
        <v>108</v>
      </c>
      <c r="E185" s="9" t="s">
        <v>17</v>
      </c>
      <c r="F185" s="9" t="s">
        <v>37</v>
      </c>
      <c r="G185" s="9" t="s">
        <v>48</v>
      </c>
      <c r="H185" s="17">
        <v>39436</v>
      </c>
      <c r="I185" s="17"/>
      <c r="J185" s="18"/>
      <c r="K185" s="122">
        <v>48.36</v>
      </c>
      <c r="L185" s="122">
        <v>16.12</v>
      </c>
      <c r="M185" s="122">
        <v>1.19</v>
      </c>
      <c r="N185" s="122">
        <v>476.12</v>
      </c>
      <c r="O185" s="122">
        <v>9.85</v>
      </c>
      <c r="P185" s="122">
        <f>AJ185*1000*AN185/100</f>
        <v>1644.1717791411045</v>
      </c>
      <c r="Q185" s="122">
        <f>N185*P185/1000</f>
        <v>782.8230674846626</v>
      </c>
      <c r="R185" s="122">
        <f>K185*P185/1000</f>
        <v>79.512147239263811</v>
      </c>
      <c r="S185" s="122"/>
      <c r="T185" s="122">
        <f>$AJ185*1000*$AN185*0.01*$N185*0.001</f>
        <v>782.8230674846626</v>
      </c>
      <c r="U185" s="122">
        <f>$AJ185*1000*$AN185*0.01*$K185*0.001</f>
        <v>79.512147239263811</v>
      </c>
      <c r="V185" s="123"/>
      <c r="W185" s="122"/>
      <c r="X185" s="122"/>
      <c r="Y185" s="122"/>
      <c r="Z185" s="122"/>
      <c r="AG185" s="124">
        <v>3.26</v>
      </c>
      <c r="AH185" s="1">
        <v>160</v>
      </c>
      <c r="AI185" s="1"/>
      <c r="AJ185" s="124">
        <f t="shared" si="7"/>
        <v>49.079754601226995</v>
      </c>
      <c r="AK185" s="1" t="s">
        <v>5</v>
      </c>
      <c r="AL185" s="122"/>
      <c r="AM185" s="122"/>
      <c r="AN185" s="122">
        <v>3.35</v>
      </c>
      <c r="AO185" s="122">
        <v>34.355828220858896</v>
      </c>
      <c r="AP185" s="122">
        <v>29.447852760736197</v>
      </c>
      <c r="AQ185" s="122">
        <v>127.60736196319019</v>
      </c>
      <c r="AR185" s="122">
        <v>4.9079754601226995</v>
      </c>
    </row>
    <row r="186" spans="1:44">
      <c r="A186" s="75">
        <v>185</v>
      </c>
      <c r="B186" s="114">
        <v>2008</v>
      </c>
      <c r="C186" s="117" t="s">
        <v>138</v>
      </c>
      <c r="D186" s="9" t="s">
        <v>108</v>
      </c>
      <c r="E186" s="9" t="s">
        <v>17</v>
      </c>
      <c r="F186" s="9" t="s">
        <v>37</v>
      </c>
      <c r="G186" s="9" t="s">
        <v>48</v>
      </c>
      <c r="H186" s="17">
        <v>39526</v>
      </c>
      <c r="I186" s="17"/>
      <c r="J186" s="18"/>
      <c r="K186" s="122">
        <v>65.739999999999995</v>
      </c>
      <c r="L186" s="122">
        <v>28.29</v>
      </c>
      <c r="M186" s="122" t="s">
        <v>62</v>
      </c>
      <c r="N186" s="122">
        <v>413.57</v>
      </c>
      <c r="O186" s="122">
        <v>6.29</v>
      </c>
      <c r="P186" s="122">
        <f>AJ186*1000*AN186/100</f>
        <v>883.80281690140851</v>
      </c>
      <c r="Q186" s="122">
        <f>N186*P186/1000</f>
        <v>365.51433098591548</v>
      </c>
      <c r="R186" s="122">
        <f>K186*P186/1000</f>
        <v>58.101197183098591</v>
      </c>
      <c r="S186" s="122"/>
      <c r="T186" s="122">
        <f>$AJ186*1000*$AN186*0.01*$N186*0.001</f>
        <v>365.51433098591548</v>
      </c>
      <c r="U186" s="122">
        <f>$AJ186*1000*$AN186*0.01*$K186*0.001</f>
        <v>58.101197183098591</v>
      </c>
      <c r="V186" s="123"/>
      <c r="W186" s="122"/>
      <c r="X186" s="122"/>
      <c r="Y186" s="122"/>
      <c r="Z186" s="122"/>
      <c r="AG186" s="124">
        <v>1.42</v>
      </c>
      <c r="AH186" s="1">
        <v>50</v>
      </c>
      <c r="AI186" s="1"/>
      <c r="AJ186" s="124">
        <f t="shared" si="7"/>
        <v>35.211267605633807</v>
      </c>
      <c r="AK186" s="1" t="s">
        <v>5</v>
      </c>
      <c r="AL186" s="122"/>
      <c r="AM186" s="122"/>
      <c r="AN186" s="122">
        <v>2.5099999999999998</v>
      </c>
      <c r="AO186" s="122">
        <v>39</v>
      </c>
      <c r="AP186" s="122">
        <v>23</v>
      </c>
      <c r="AQ186" s="122">
        <v>70</v>
      </c>
      <c r="AR186" s="122">
        <v>4</v>
      </c>
    </row>
    <row r="187" spans="1:44">
      <c r="A187" s="75">
        <v>186</v>
      </c>
      <c r="B187" s="114">
        <v>2008</v>
      </c>
      <c r="C187" s="117" t="s">
        <v>138</v>
      </c>
      <c r="D187" s="9" t="s">
        <v>108</v>
      </c>
      <c r="E187" s="9" t="s">
        <v>25</v>
      </c>
      <c r="F187" s="9" t="s">
        <v>35</v>
      </c>
      <c r="G187" s="9" t="s">
        <v>36</v>
      </c>
      <c r="H187" s="17">
        <v>39575</v>
      </c>
      <c r="I187" s="17">
        <v>39576</v>
      </c>
      <c r="J187" s="18">
        <v>1</v>
      </c>
      <c r="K187" s="122"/>
      <c r="L187" s="122"/>
      <c r="M187" s="122">
        <v>1.24</v>
      </c>
      <c r="N187" s="122"/>
      <c r="O187" s="122"/>
      <c r="P187" s="122"/>
      <c r="Q187" s="122"/>
      <c r="R187" s="122"/>
      <c r="S187" s="122">
        <f>AJ187*AM187*AN187*0.01</f>
        <v>4690.140845070423</v>
      </c>
      <c r="T187" s="122">
        <f>S187*0.4089</f>
        <v>1917.7985915492959</v>
      </c>
      <c r="U187" s="122">
        <f>S187*0.0263</f>
        <v>123.35070422535213</v>
      </c>
      <c r="V187" s="123"/>
      <c r="W187" s="122"/>
      <c r="X187" s="122"/>
      <c r="Y187" s="122"/>
      <c r="Z187" s="122"/>
      <c r="AG187" s="124">
        <v>1.42</v>
      </c>
      <c r="AH187" s="1">
        <v>6</v>
      </c>
      <c r="AI187" s="1"/>
      <c r="AJ187" s="124">
        <f t="shared" si="7"/>
        <v>4.2253521126760569</v>
      </c>
      <c r="AK187" s="1" t="s">
        <v>67</v>
      </c>
      <c r="AL187" s="122"/>
      <c r="AM187" s="122">
        <v>3000</v>
      </c>
      <c r="AN187" s="122">
        <v>37</v>
      </c>
      <c r="AO187" s="122"/>
      <c r="AP187" s="122"/>
      <c r="AQ187" s="122"/>
      <c r="AR187" s="122"/>
    </row>
    <row r="188" spans="1:44">
      <c r="A188" s="75">
        <v>187</v>
      </c>
      <c r="B188" s="114">
        <v>2008</v>
      </c>
      <c r="C188" s="117" t="s">
        <v>138</v>
      </c>
      <c r="D188" s="9" t="s">
        <v>108</v>
      </c>
      <c r="E188" s="9" t="s">
        <v>17</v>
      </c>
      <c r="F188" s="9" t="s">
        <v>37</v>
      </c>
      <c r="G188" s="9" t="s">
        <v>48</v>
      </c>
      <c r="H188" s="17">
        <v>39585</v>
      </c>
      <c r="I188" s="17"/>
      <c r="J188" s="18"/>
      <c r="K188" s="122">
        <v>79.11</v>
      </c>
      <c r="L188" s="122">
        <v>33.78</v>
      </c>
      <c r="M188" s="122" t="s">
        <v>62</v>
      </c>
      <c r="N188" s="122">
        <v>392.23</v>
      </c>
      <c r="O188" s="122">
        <v>4.96</v>
      </c>
      <c r="P188" s="122">
        <f>AJ188*1000*AN188/100</f>
        <v>792.2535211267608</v>
      </c>
      <c r="Q188" s="122">
        <f>N188*P188/1000</f>
        <v>310.74559859154937</v>
      </c>
      <c r="R188" s="122">
        <f>K188*P188/1000</f>
        <v>62.675176056338046</v>
      </c>
      <c r="S188" s="122"/>
      <c r="T188" s="122">
        <f>$AJ188*1000*$AN188*0.01*$N188*0.001</f>
        <v>310.74559859154937</v>
      </c>
      <c r="U188" s="122">
        <f>$AJ188*1000*$AN188*0.01*$K188*0.001</f>
        <v>62.675176056338046</v>
      </c>
      <c r="V188" s="123"/>
      <c r="W188" s="122"/>
      <c r="X188" s="122"/>
      <c r="Y188" s="122"/>
      <c r="Z188" s="122"/>
      <c r="AG188" s="124">
        <v>1.42</v>
      </c>
      <c r="AH188" s="1">
        <v>50</v>
      </c>
      <c r="AI188" s="1"/>
      <c r="AJ188" s="124">
        <f t="shared" si="7"/>
        <v>35.211267605633807</v>
      </c>
      <c r="AK188" s="1" t="s">
        <v>5</v>
      </c>
      <c r="AL188" s="122"/>
      <c r="AM188" s="122"/>
      <c r="AN188" s="122">
        <v>2.25</v>
      </c>
      <c r="AO188" s="122">
        <v>39</v>
      </c>
      <c r="AP188" s="122">
        <v>23</v>
      </c>
      <c r="AQ188" s="122">
        <v>70</v>
      </c>
      <c r="AR188" s="122">
        <v>4</v>
      </c>
    </row>
    <row r="189" spans="1:44">
      <c r="A189" s="75">
        <v>188</v>
      </c>
      <c r="B189" s="114">
        <v>2008</v>
      </c>
      <c r="C189" s="117" t="s">
        <v>138</v>
      </c>
      <c r="D189" s="9" t="s">
        <v>108</v>
      </c>
      <c r="E189" s="9" t="s">
        <v>25</v>
      </c>
      <c r="F189" s="9" t="s">
        <v>35</v>
      </c>
      <c r="G189" s="9" t="s">
        <v>36</v>
      </c>
      <c r="H189" s="17">
        <v>39617</v>
      </c>
      <c r="I189" s="17">
        <v>39618</v>
      </c>
      <c r="J189" s="18">
        <v>2</v>
      </c>
      <c r="K189" s="122"/>
      <c r="L189" s="122"/>
      <c r="M189" s="122"/>
      <c r="N189" s="122"/>
      <c r="O189" s="122"/>
      <c r="P189" s="122"/>
      <c r="Q189" s="122"/>
      <c r="R189" s="122"/>
      <c r="S189" s="122">
        <f>AJ189*AM189*AN189*0.01</f>
        <v>3517.6056338028175</v>
      </c>
      <c r="T189" s="122">
        <f>S189*0.4089</f>
        <v>1438.348943661972</v>
      </c>
      <c r="U189" s="122">
        <f>S189*0.0263</f>
        <v>92.513028169014106</v>
      </c>
      <c r="V189" s="123"/>
      <c r="W189" s="122"/>
      <c r="X189" s="122"/>
      <c r="Y189" s="122"/>
      <c r="Z189" s="122"/>
      <c r="AG189" s="124">
        <v>1.42</v>
      </c>
      <c r="AH189" s="1">
        <v>4.5</v>
      </c>
      <c r="AI189" s="1"/>
      <c r="AJ189" s="124">
        <f t="shared" si="7"/>
        <v>3.1690140845070425</v>
      </c>
      <c r="AK189" s="1" t="s">
        <v>67</v>
      </c>
      <c r="AL189" s="122"/>
      <c r="AM189" s="122">
        <v>3000</v>
      </c>
      <c r="AN189" s="122">
        <v>37</v>
      </c>
      <c r="AO189" s="122"/>
      <c r="AP189" s="122"/>
      <c r="AQ189" s="122"/>
      <c r="AR189" s="122"/>
    </row>
    <row r="190" spans="1:44">
      <c r="A190" s="75">
        <v>189</v>
      </c>
      <c r="B190" s="114">
        <v>2008</v>
      </c>
      <c r="C190" s="117" t="s">
        <v>138</v>
      </c>
      <c r="D190" s="9" t="s">
        <v>108</v>
      </c>
      <c r="E190" s="9" t="s">
        <v>17</v>
      </c>
      <c r="F190" s="9" t="s">
        <v>37</v>
      </c>
      <c r="G190" s="9" t="s">
        <v>48</v>
      </c>
      <c r="H190" s="17">
        <v>39625</v>
      </c>
      <c r="I190" s="17"/>
      <c r="J190" s="18"/>
      <c r="K190" s="122">
        <v>54.73</v>
      </c>
      <c r="L190" s="122">
        <v>28.38</v>
      </c>
      <c r="M190" s="122" t="s">
        <v>62</v>
      </c>
      <c r="N190" s="122">
        <v>377.19</v>
      </c>
      <c r="O190" s="122">
        <v>6.89</v>
      </c>
      <c r="P190" s="122">
        <f>AJ190*1000*AN190/100</f>
        <v>416.90140845070425</v>
      </c>
      <c r="Q190" s="122">
        <f>N190*P190/1000</f>
        <v>157.25104225352112</v>
      </c>
      <c r="R190" s="122">
        <f>K190*P190/1000</f>
        <v>22.817014084507043</v>
      </c>
      <c r="S190" s="122"/>
      <c r="T190" s="122">
        <f>$AJ190*1000*$AN190*0.01*$N190*0.001</f>
        <v>157.25104225352112</v>
      </c>
      <c r="U190" s="122">
        <f>$AJ190*1000*$AN190*0.01*$K190*0.001</f>
        <v>22.817014084507043</v>
      </c>
      <c r="V190" s="123"/>
      <c r="W190" s="122"/>
      <c r="X190" s="122"/>
      <c r="Y190" s="122"/>
      <c r="Z190" s="122"/>
      <c r="AG190" s="124">
        <v>1.42</v>
      </c>
      <c r="AH190" s="1">
        <v>40</v>
      </c>
      <c r="AI190" s="1"/>
      <c r="AJ190" s="124">
        <f t="shared" ref="AJ190:AJ221" si="8">IF(AH190/AG190&gt;0, AH190/AG190,"")</f>
        <v>28.169014084507044</v>
      </c>
      <c r="AK190" s="1" t="s">
        <v>5</v>
      </c>
      <c r="AL190" s="122"/>
      <c r="AM190" s="122"/>
      <c r="AN190" s="122">
        <v>1.48</v>
      </c>
      <c r="AO190" s="122">
        <v>31</v>
      </c>
      <c r="AP190" s="122">
        <v>19</v>
      </c>
      <c r="AQ190" s="122">
        <v>56</v>
      </c>
      <c r="AR190" s="122">
        <v>3</v>
      </c>
    </row>
    <row r="191" spans="1:44">
      <c r="A191" s="75">
        <v>190</v>
      </c>
      <c r="B191" s="114">
        <v>2008</v>
      </c>
      <c r="C191" s="117" t="s">
        <v>138</v>
      </c>
      <c r="D191" s="9" t="s">
        <v>108</v>
      </c>
      <c r="E191" s="9" t="s">
        <v>25</v>
      </c>
      <c r="F191" s="9" t="s">
        <v>35</v>
      </c>
      <c r="G191" s="9" t="s">
        <v>36</v>
      </c>
      <c r="H191" s="17">
        <v>39652</v>
      </c>
      <c r="I191" s="17">
        <v>39653</v>
      </c>
      <c r="J191" s="18">
        <v>3</v>
      </c>
      <c r="K191" s="122"/>
      <c r="L191" s="122"/>
      <c r="M191" s="122"/>
      <c r="N191" s="122"/>
      <c r="O191" s="122"/>
      <c r="P191" s="122"/>
      <c r="Q191" s="122"/>
      <c r="R191" s="122"/>
      <c r="S191" s="122">
        <f>AJ191*AM191*AN191*0.01</f>
        <v>1563.3802816901411</v>
      </c>
      <c r="T191" s="122">
        <f>S191*0.4089</f>
        <v>639.26619718309871</v>
      </c>
      <c r="U191" s="122">
        <f>S191*0.0263</f>
        <v>41.116901408450715</v>
      </c>
      <c r="V191" s="123"/>
      <c r="W191" s="122"/>
      <c r="X191" s="122"/>
      <c r="Y191" s="122"/>
      <c r="Z191" s="122"/>
      <c r="AG191" s="124">
        <v>1.42</v>
      </c>
      <c r="AH191" s="1">
        <v>2</v>
      </c>
      <c r="AI191" s="1"/>
      <c r="AJ191" s="124">
        <f t="shared" si="8"/>
        <v>1.4084507042253522</v>
      </c>
      <c r="AK191" s="1" t="s">
        <v>67</v>
      </c>
      <c r="AL191" s="122"/>
      <c r="AM191" s="122">
        <v>3000</v>
      </c>
      <c r="AN191" s="122">
        <v>37</v>
      </c>
      <c r="AO191" s="122"/>
      <c r="AP191" s="122"/>
      <c r="AQ191" s="122"/>
      <c r="AR191" s="122"/>
    </row>
    <row r="192" spans="1:44">
      <c r="A192" s="75">
        <v>191</v>
      </c>
      <c r="B192" s="114">
        <v>2008</v>
      </c>
      <c r="C192" s="117" t="s">
        <v>138</v>
      </c>
      <c r="D192" s="9" t="s">
        <v>108</v>
      </c>
      <c r="E192" s="9" t="s">
        <v>17</v>
      </c>
      <c r="F192" s="9" t="s">
        <v>37</v>
      </c>
      <c r="G192" s="9" t="s">
        <v>48</v>
      </c>
      <c r="H192" s="17">
        <v>39658</v>
      </c>
      <c r="I192" s="17"/>
      <c r="J192" s="18"/>
      <c r="K192" s="122">
        <v>62.31</v>
      </c>
      <c r="L192" s="122">
        <v>27.69</v>
      </c>
      <c r="M192" s="122">
        <v>3.85</v>
      </c>
      <c r="N192" s="122">
        <v>376.29</v>
      </c>
      <c r="O192" s="122">
        <v>6.04</v>
      </c>
      <c r="P192" s="122">
        <f>AJ192*1000*AN192/100</f>
        <v>549.29577464788747</v>
      </c>
      <c r="Q192" s="122">
        <f>N192*P192/1000</f>
        <v>206.6945070422536</v>
      </c>
      <c r="R192" s="122">
        <f>K192*P192/1000</f>
        <v>34.22661971830987</v>
      </c>
      <c r="S192" s="122"/>
      <c r="T192" s="122">
        <f>$AJ192*1000*$AN192*0.01*$N192*0.001</f>
        <v>206.6945070422536</v>
      </c>
      <c r="U192" s="122">
        <f>$AJ192*1000*$AN192*0.01*$K192*0.001</f>
        <v>34.22661971830987</v>
      </c>
      <c r="V192" s="123"/>
      <c r="W192" s="122"/>
      <c r="X192" s="122"/>
      <c r="Y192" s="122"/>
      <c r="Z192" s="122"/>
      <c r="AG192" s="124">
        <v>1.42</v>
      </c>
      <c r="AH192" s="1">
        <v>60</v>
      </c>
      <c r="AI192" s="1"/>
      <c r="AJ192" s="124">
        <f t="shared" si="8"/>
        <v>42.253521126760567</v>
      </c>
      <c r="AK192" s="1" t="s">
        <v>5</v>
      </c>
      <c r="AL192" s="122"/>
      <c r="AM192" s="122"/>
      <c r="AN192" s="122">
        <v>1.3</v>
      </c>
      <c r="AO192" s="122">
        <v>30</v>
      </c>
      <c r="AP192" s="122">
        <v>25</v>
      </c>
      <c r="AQ192" s="122">
        <v>110</v>
      </c>
      <c r="AR192" s="122">
        <v>4</v>
      </c>
    </row>
    <row r="193" spans="1:44">
      <c r="A193" s="75">
        <v>192</v>
      </c>
      <c r="B193" s="114">
        <v>2008</v>
      </c>
      <c r="C193" s="117" t="s">
        <v>138</v>
      </c>
      <c r="D193" s="9" t="s">
        <v>108</v>
      </c>
      <c r="E193" s="9" t="s">
        <v>25</v>
      </c>
      <c r="F193" s="9" t="s">
        <v>35</v>
      </c>
      <c r="G193" s="9" t="s">
        <v>36</v>
      </c>
      <c r="H193" s="17">
        <v>39687</v>
      </c>
      <c r="I193" s="17">
        <v>39688</v>
      </c>
      <c r="J193" s="18">
        <v>4</v>
      </c>
      <c r="K193" s="122"/>
      <c r="L193" s="122"/>
      <c r="M193" s="122"/>
      <c r="N193" s="122"/>
      <c r="O193" s="122"/>
      <c r="P193" s="122"/>
      <c r="Q193" s="122"/>
      <c r="R193" s="122"/>
      <c r="S193" s="122">
        <f>AJ193*AM193*AN193*0.01</f>
        <v>781.69014084507057</v>
      </c>
      <c r="T193" s="122">
        <f>S193*0.4089</f>
        <v>319.63309859154936</v>
      </c>
      <c r="U193" s="122">
        <f>S193*0.0263</f>
        <v>20.558450704225358</v>
      </c>
      <c r="V193" s="123"/>
      <c r="W193" s="122"/>
      <c r="X193" s="122"/>
      <c r="Y193" s="122"/>
      <c r="Z193" s="122"/>
      <c r="AG193" s="124">
        <v>1.42</v>
      </c>
      <c r="AH193" s="1">
        <v>1</v>
      </c>
      <c r="AI193" s="1"/>
      <c r="AJ193" s="124">
        <f t="shared" si="8"/>
        <v>0.70422535211267612</v>
      </c>
      <c r="AK193" s="1" t="s">
        <v>67</v>
      </c>
      <c r="AL193" s="122"/>
      <c r="AM193" s="122">
        <v>3000</v>
      </c>
      <c r="AN193" s="122">
        <v>37</v>
      </c>
      <c r="AO193" s="122"/>
      <c r="AP193" s="122"/>
      <c r="AQ193" s="122"/>
      <c r="AR193" s="122"/>
    </row>
    <row r="194" spans="1:44">
      <c r="A194" s="75">
        <v>193</v>
      </c>
      <c r="B194" s="114">
        <v>2008</v>
      </c>
      <c r="C194" s="117" t="s">
        <v>138</v>
      </c>
      <c r="D194" s="9" t="s">
        <v>108</v>
      </c>
      <c r="E194" s="9" t="s">
        <v>17</v>
      </c>
      <c r="F194" s="9" t="s">
        <v>37</v>
      </c>
      <c r="G194" s="9" t="s">
        <v>48</v>
      </c>
      <c r="H194" s="17">
        <v>39693</v>
      </c>
      <c r="I194" s="17"/>
      <c r="J194" s="18"/>
      <c r="K194" s="122">
        <v>50</v>
      </c>
      <c r="L194" s="122">
        <v>21.79</v>
      </c>
      <c r="M194" s="122">
        <v>1.28</v>
      </c>
      <c r="N194" s="122">
        <v>447.25</v>
      </c>
      <c r="O194" s="122">
        <v>8.94</v>
      </c>
      <c r="P194" s="122">
        <f>AJ194*1000*AN194/100</f>
        <v>988.73239436619724</v>
      </c>
      <c r="Q194" s="122">
        <f>N194*P194/1000</f>
        <v>442.21056338028171</v>
      </c>
      <c r="R194" s="122">
        <f>K194*P194/1000</f>
        <v>49.436619718309863</v>
      </c>
      <c r="S194" s="122"/>
      <c r="T194" s="122">
        <f>$AJ194*1000*$AN194*0.01*$N194*0.001</f>
        <v>442.21056338028177</v>
      </c>
      <c r="U194" s="122">
        <f>$AJ194*1000*$AN194*0.01*$K194*0.001</f>
        <v>49.436619718309863</v>
      </c>
      <c r="V194" s="123"/>
      <c r="W194" s="122"/>
      <c r="X194" s="122"/>
      <c r="Y194" s="122"/>
      <c r="Z194" s="122"/>
      <c r="AG194" s="124">
        <v>1.42</v>
      </c>
      <c r="AH194" s="1">
        <v>60</v>
      </c>
      <c r="AI194" s="1"/>
      <c r="AJ194" s="124">
        <f t="shared" si="8"/>
        <v>42.253521126760567</v>
      </c>
      <c r="AK194" s="1" t="s">
        <v>5</v>
      </c>
      <c r="AL194" s="122"/>
      <c r="AM194" s="122"/>
      <c r="AN194" s="122">
        <v>2.34</v>
      </c>
      <c r="AO194" s="122">
        <v>46</v>
      </c>
      <c r="AP194" s="122">
        <v>28</v>
      </c>
      <c r="AQ194" s="122">
        <v>85</v>
      </c>
      <c r="AR194" s="122">
        <v>4</v>
      </c>
    </row>
    <row r="195" spans="1:44">
      <c r="A195" s="75">
        <v>194</v>
      </c>
      <c r="B195" s="114">
        <v>2008</v>
      </c>
      <c r="C195" s="117" t="s">
        <v>138</v>
      </c>
      <c r="D195" s="9" t="s">
        <v>108</v>
      </c>
      <c r="E195" s="9" t="s">
        <v>25</v>
      </c>
      <c r="F195" s="9" t="s">
        <v>35</v>
      </c>
      <c r="G195" s="9" t="s">
        <v>36</v>
      </c>
      <c r="H195" s="17">
        <v>39719</v>
      </c>
      <c r="I195" s="17">
        <v>39720</v>
      </c>
      <c r="J195" s="18">
        <v>5</v>
      </c>
      <c r="K195" s="122"/>
      <c r="L195" s="122"/>
      <c r="M195" s="122"/>
      <c r="N195" s="122"/>
      <c r="O195" s="122"/>
      <c r="P195" s="122"/>
      <c r="Q195" s="122"/>
      <c r="R195" s="122"/>
      <c r="S195" s="122">
        <f>AJ195*AM195*AN195*0.01</f>
        <v>1563.3802816901411</v>
      </c>
      <c r="T195" s="122">
        <f>S195*0.4089</f>
        <v>639.26619718309871</v>
      </c>
      <c r="U195" s="122">
        <f>S195*0.0263</f>
        <v>41.116901408450715</v>
      </c>
      <c r="V195" s="123"/>
      <c r="W195" s="122"/>
      <c r="X195" s="122"/>
      <c r="Y195" s="122"/>
      <c r="Z195" s="122"/>
      <c r="AG195" s="124">
        <v>1.42</v>
      </c>
      <c r="AH195" s="1">
        <v>2</v>
      </c>
      <c r="AI195" s="1"/>
      <c r="AJ195" s="124">
        <f t="shared" si="8"/>
        <v>1.4084507042253522</v>
      </c>
      <c r="AK195" s="1" t="s">
        <v>67</v>
      </c>
      <c r="AL195" s="122"/>
      <c r="AM195" s="122">
        <v>3000</v>
      </c>
      <c r="AN195" s="122">
        <v>37</v>
      </c>
      <c r="AO195" s="122"/>
      <c r="AP195" s="122"/>
      <c r="AQ195" s="122"/>
      <c r="AR195" s="122"/>
    </row>
    <row r="196" spans="1:44">
      <c r="A196" s="75">
        <v>195</v>
      </c>
      <c r="B196" s="114">
        <v>2008</v>
      </c>
      <c r="C196" s="117" t="s">
        <v>138</v>
      </c>
      <c r="D196" s="9" t="s">
        <v>108</v>
      </c>
      <c r="E196" s="9" t="s">
        <v>17</v>
      </c>
      <c r="F196" s="9" t="s">
        <v>37</v>
      </c>
      <c r="G196" s="9" t="s">
        <v>48</v>
      </c>
      <c r="H196" s="17">
        <v>39727</v>
      </c>
      <c r="I196" s="17"/>
      <c r="J196" s="18"/>
      <c r="K196" s="122">
        <v>84.38</v>
      </c>
      <c r="L196" s="122">
        <v>39.58</v>
      </c>
      <c r="M196" s="122">
        <v>5.21</v>
      </c>
      <c r="N196" s="122">
        <v>348.35</v>
      </c>
      <c r="O196" s="122">
        <v>4.13</v>
      </c>
      <c r="P196" s="122">
        <f>AJ196*1000*AN196/100</f>
        <v>473.23943661971833</v>
      </c>
      <c r="Q196" s="122">
        <f>N196*P196/1000</f>
        <v>164.85295774647889</v>
      </c>
      <c r="R196" s="122">
        <f>K196*P196/1000</f>
        <v>39.931943661971836</v>
      </c>
      <c r="S196" s="122"/>
      <c r="T196" s="122">
        <f>$AJ196*1000*$AN196*0.01*$N196*0.001</f>
        <v>164.85295774647889</v>
      </c>
      <c r="U196" s="122">
        <f>$AJ196*1000*$AN196*0.01*$K196*0.001</f>
        <v>39.931943661971836</v>
      </c>
      <c r="V196" s="123"/>
      <c r="W196" s="122"/>
      <c r="X196" s="122"/>
      <c r="Y196" s="122"/>
      <c r="Z196" s="122"/>
      <c r="AG196" s="124">
        <v>1.42</v>
      </c>
      <c r="AH196" s="1">
        <v>70</v>
      </c>
      <c r="AI196" s="1"/>
      <c r="AJ196" s="124">
        <f t="shared" si="8"/>
        <v>49.295774647887328</v>
      </c>
      <c r="AK196" s="1" t="s">
        <v>5</v>
      </c>
      <c r="AL196" s="122"/>
      <c r="AM196" s="122"/>
      <c r="AN196" s="122">
        <v>0.96</v>
      </c>
      <c r="AO196" s="122">
        <v>54</v>
      </c>
      <c r="AP196" s="122">
        <v>33</v>
      </c>
      <c r="AQ196" s="122">
        <v>99</v>
      </c>
      <c r="AR196" s="122">
        <v>5</v>
      </c>
    </row>
    <row r="197" spans="1:44">
      <c r="A197" s="75">
        <v>196</v>
      </c>
      <c r="B197" s="114">
        <v>2008</v>
      </c>
      <c r="C197" s="117" t="s">
        <v>138</v>
      </c>
      <c r="D197" s="9" t="s">
        <v>108</v>
      </c>
      <c r="E197" s="9" t="s">
        <v>25</v>
      </c>
      <c r="F197" s="9" t="s">
        <v>35</v>
      </c>
      <c r="G197" s="9" t="s">
        <v>36</v>
      </c>
      <c r="H197" s="17">
        <v>39746</v>
      </c>
      <c r="I197" s="17">
        <v>39747</v>
      </c>
      <c r="J197" s="18">
        <v>6</v>
      </c>
      <c r="K197" s="122"/>
      <c r="L197" s="122"/>
      <c r="M197" s="122"/>
      <c r="N197" s="122"/>
      <c r="O197" s="122"/>
      <c r="P197" s="122"/>
      <c r="Q197" s="122"/>
      <c r="R197" s="122"/>
      <c r="S197" s="122">
        <f>AJ197*AM197*AN197*0.01</f>
        <v>480.73943661971839</v>
      </c>
      <c r="T197" s="122">
        <f>S197*0.4089</f>
        <v>196.57435563380284</v>
      </c>
      <c r="U197" s="122">
        <f>S197*0.0263</f>
        <v>12.643447183098594</v>
      </c>
      <c r="V197" s="123"/>
      <c r="W197" s="122"/>
      <c r="X197" s="122"/>
      <c r="Y197" s="122"/>
      <c r="Z197" s="122"/>
      <c r="AG197" s="124">
        <v>1.42</v>
      </c>
      <c r="AH197" s="1">
        <v>3</v>
      </c>
      <c r="AI197" s="1"/>
      <c r="AJ197" s="124">
        <f t="shared" si="8"/>
        <v>2.1126760563380285</v>
      </c>
      <c r="AK197" s="137" t="s">
        <v>70</v>
      </c>
      <c r="AL197" s="122"/>
      <c r="AM197" s="122">
        <v>615</v>
      </c>
      <c r="AN197" s="122">
        <v>37</v>
      </c>
      <c r="AO197" s="122"/>
      <c r="AP197" s="122"/>
      <c r="AQ197" s="122"/>
      <c r="AR197" s="122"/>
    </row>
    <row r="198" spans="1:44">
      <c r="A198" s="75">
        <v>197</v>
      </c>
      <c r="B198" s="114">
        <v>2008</v>
      </c>
      <c r="C198" s="117" t="s">
        <v>138</v>
      </c>
      <c r="D198" s="9" t="s">
        <v>108</v>
      </c>
      <c r="E198" s="9" t="s">
        <v>17</v>
      </c>
      <c r="F198" s="9" t="s">
        <v>37</v>
      </c>
      <c r="G198" s="9" t="s">
        <v>48</v>
      </c>
      <c r="H198" s="17">
        <v>39763</v>
      </c>
      <c r="I198" s="17"/>
      <c r="J198" s="18"/>
      <c r="K198" s="122">
        <v>49.71</v>
      </c>
      <c r="L198" s="122">
        <v>16.37</v>
      </c>
      <c r="M198" s="122" t="s">
        <v>62</v>
      </c>
      <c r="N198" s="122">
        <v>461.74</v>
      </c>
      <c r="O198" s="122">
        <v>9.2899999999999991</v>
      </c>
      <c r="P198" s="122">
        <f>AJ198*1000*AN198/100</f>
        <v>2167.6056338028166</v>
      </c>
      <c r="Q198" s="122">
        <f>N198*P198/1000</f>
        <v>1000.8702253521126</v>
      </c>
      <c r="R198" s="122">
        <f>K198*P198/1000</f>
        <v>107.75167605633801</v>
      </c>
      <c r="S198" s="122"/>
      <c r="T198" s="122">
        <f>$AJ198*1000*$AN198*0.01*$N198*0.001</f>
        <v>1000.8702253521126</v>
      </c>
      <c r="U198" s="122">
        <f>$AJ198*1000*$AN198*0.01*$K198*0.001</f>
        <v>107.75167605633801</v>
      </c>
      <c r="V198" s="123"/>
      <c r="W198" s="122"/>
      <c r="X198" s="122"/>
      <c r="Y198" s="122"/>
      <c r="Z198" s="122"/>
      <c r="AG198" s="124">
        <v>1.42</v>
      </c>
      <c r="AH198" s="1">
        <v>90</v>
      </c>
      <c r="AI198" s="1"/>
      <c r="AJ198" s="124">
        <f t="shared" si="8"/>
        <v>63.380281690140848</v>
      </c>
      <c r="AK198" s="1" t="s">
        <v>5</v>
      </c>
      <c r="AL198" s="122"/>
      <c r="AM198" s="122"/>
      <c r="AN198" s="122">
        <v>3.42</v>
      </c>
      <c r="AO198" s="122">
        <v>44</v>
      </c>
      <c r="AP198" s="122">
        <v>38</v>
      </c>
      <c r="AQ198" s="122">
        <v>165</v>
      </c>
      <c r="AR198" s="122">
        <v>6</v>
      </c>
    </row>
    <row r="199" spans="1:44">
      <c r="A199" s="75">
        <v>198</v>
      </c>
      <c r="B199" s="114">
        <v>2008</v>
      </c>
      <c r="C199" s="118" t="s">
        <v>139</v>
      </c>
      <c r="D199" s="9" t="s">
        <v>108</v>
      </c>
      <c r="E199" s="9" t="s">
        <v>17</v>
      </c>
      <c r="F199" s="9" t="s">
        <v>37</v>
      </c>
      <c r="G199" s="9" t="s">
        <v>48</v>
      </c>
      <c r="H199" s="17">
        <v>39526</v>
      </c>
      <c r="I199" s="17"/>
      <c r="J199" s="18"/>
      <c r="K199" s="137">
        <v>76.5</v>
      </c>
      <c r="L199" s="137">
        <v>29.6</v>
      </c>
      <c r="M199" s="122" t="s">
        <v>62</v>
      </c>
      <c r="N199" s="137">
        <v>426.7</v>
      </c>
      <c r="O199" s="137">
        <v>5.6</v>
      </c>
      <c r="P199" s="122">
        <f>AJ199*1000*AN199/100</f>
        <v>978.52760736196319</v>
      </c>
      <c r="Q199" s="122">
        <f>N199*P199/1000</f>
        <v>417.53773006134969</v>
      </c>
      <c r="R199" s="122">
        <f>K199*P199/1000</f>
        <v>74.857361963190186</v>
      </c>
      <c r="S199" s="122"/>
      <c r="T199" s="122">
        <f>$AJ199*1000*$AN199*0.01*$N199*0.001</f>
        <v>417.53773006134969</v>
      </c>
      <c r="U199" s="122">
        <f>$AJ199*1000*$AN199*0.01*$K199*0.001</f>
        <v>74.857361963190186</v>
      </c>
      <c r="V199" s="123"/>
      <c r="W199" s="137"/>
      <c r="X199" s="137"/>
      <c r="Y199" s="122"/>
      <c r="Z199" s="122"/>
      <c r="AG199" s="124">
        <v>3.26</v>
      </c>
      <c r="AH199" s="1">
        <v>110</v>
      </c>
      <c r="AI199" s="1"/>
      <c r="AJ199" s="124">
        <f t="shared" si="8"/>
        <v>33.742331288343557</v>
      </c>
      <c r="AK199" s="1" t="s">
        <v>5</v>
      </c>
      <c r="AL199" s="122"/>
      <c r="AM199" s="122"/>
      <c r="AN199" s="122">
        <v>2.9</v>
      </c>
      <c r="AO199" s="122">
        <v>37.116564417177919</v>
      </c>
      <c r="AP199" s="122">
        <v>22.269938650306752</v>
      </c>
      <c r="AQ199" s="122">
        <v>67.484662576687114</v>
      </c>
      <c r="AR199" s="122">
        <v>3.3742331288343559</v>
      </c>
    </row>
    <row r="200" spans="1:44">
      <c r="A200" s="75">
        <v>199</v>
      </c>
      <c r="B200" s="114">
        <v>2008</v>
      </c>
      <c r="C200" s="118" t="s">
        <v>139</v>
      </c>
      <c r="D200" s="9" t="s">
        <v>108</v>
      </c>
      <c r="E200" s="9" t="s">
        <v>25</v>
      </c>
      <c r="F200" s="9" t="s">
        <v>35</v>
      </c>
      <c r="G200" s="9" t="s">
        <v>36</v>
      </c>
      <c r="H200" s="17">
        <v>39575</v>
      </c>
      <c r="I200" s="17">
        <v>39576</v>
      </c>
      <c r="J200" s="18">
        <v>1</v>
      </c>
      <c r="K200" s="122"/>
      <c r="L200" s="122"/>
      <c r="M200" s="122"/>
      <c r="N200" s="122"/>
      <c r="O200" s="1"/>
      <c r="P200" s="1"/>
      <c r="Q200" s="1"/>
      <c r="R200" s="1"/>
      <c r="S200" s="122">
        <f>AJ200*AM200*AN200*0.01</f>
        <v>2042.9447852760736</v>
      </c>
      <c r="T200" s="122">
        <f>S200*0.4089</f>
        <v>835.36012269938647</v>
      </c>
      <c r="U200" s="122">
        <f>S200*0.0263</f>
        <v>53.729447852760735</v>
      </c>
      <c r="V200" s="123"/>
      <c r="W200" s="1"/>
      <c r="X200" s="1"/>
      <c r="Y200" s="122"/>
      <c r="Z200" s="122"/>
      <c r="AG200" s="124">
        <v>3.26</v>
      </c>
      <c r="AH200" s="1">
        <v>6</v>
      </c>
      <c r="AI200" s="1"/>
      <c r="AJ200" s="124">
        <f t="shared" si="8"/>
        <v>1.8404907975460123</v>
      </c>
      <c r="AK200" s="1" t="s">
        <v>67</v>
      </c>
      <c r="AL200" s="122"/>
      <c r="AM200" s="122">
        <v>3000</v>
      </c>
      <c r="AN200" s="122">
        <v>37</v>
      </c>
      <c r="AO200" s="122"/>
      <c r="AP200" s="122"/>
      <c r="AQ200" s="122"/>
      <c r="AR200" s="122"/>
    </row>
    <row r="201" spans="1:44">
      <c r="A201" s="75">
        <v>200</v>
      </c>
      <c r="B201" s="114">
        <v>2008</v>
      </c>
      <c r="C201" s="118" t="s">
        <v>139</v>
      </c>
      <c r="D201" s="9" t="s">
        <v>108</v>
      </c>
      <c r="E201" s="9" t="s">
        <v>17</v>
      </c>
      <c r="F201" s="9" t="s">
        <v>37</v>
      </c>
      <c r="G201" s="9" t="s">
        <v>48</v>
      </c>
      <c r="H201" s="17">
        <v>39584</v>
      </c>
      <c r="I201" s="17"/>
      <c r="J201" s="18"/>
      <c r="K201" s="137">
        <v>64.599999999999994</v>
      </c>
      <c r="L201" s="137">
        <v>32.6</v>
      </c>
      <c r="M201" s="122" t="s">
        <v>62</v>
      </c>
      <c r="N201" s="137">
        <v>387.5</v>
      </c>
      <c r="O201" s="137">
        <v>6</v>
      </c>
      <c r="P201" s="122">
        <f>AJ201*1000*AN201/100</f>
        <v>515.33742331288352</v>
      </c>
      <c r="Q201" s="122">
        <f>N201*P201/1000</f>
        <v>199.69325153374234</v>
      </c>
      <c r="R201" s="122">
        <f>K201*P201/1000</f>
        <v>33.290797546012271</v>
      </c>
      <c r="S201" s="122"/>
      <c r="T201" s="122">
        <f>$AJ201*1000*$AN201*0.01*$N201*0.001</f>
        <v>199.69325153374237</v>
      </c>
      <c r="U201" s="122">
        <f>$AJ201*1000*$AN201*0.01*$K201*0.001</f>
        <v>33.290797546012271</v>
      </c>
      <c r="V201" s="123"/>
      <c r="W201" s="137"/>
      <c r="X201" s="137"/>
      <c r="Y201" s="122"/>
      <c r="Z201" s="122"/>
      <c r="AG201" s="124">
        <v>3.26</v>
      </c>
      <c r="AH201" s="1">
        <v>80</v>
      </c>
      <c r="AI201" s="1"/>
      <c r="AJ201" s="124">
        <f t="shared" si="8"/>
        <v>24.539877300613497</v>
      </c>
      <c r="AK201" s="1" t="s">
        <v>5</v>
      </c>
      <c r="AL201" s="122"/>
      <c r="AM201" s="122"/>
      <c r="AN201" s="122">
        <v>2.1</v>
      </c>
      <c r="AO201" s="122">
        <v>26.993865030674847</v>
      </c>
      <c r="AP201" s="122">
        <v>16.19631901840491</v>
      </c>
      <c r="AQ201" s="122">
        <v>49.079754601226995</v>
      </c>
      <c r="AR201" s="122">
        <v>2.4539877300613497</v>
      </c>
    </row>
    <row r="202" spans="1:44">
      <c r="A202" s="75">
        <v>201</v>
      </c>
      <c r="B202" s="114">
        <v>2008</v>
      </c>
      <c r="C202" s="118" t="s">
        <v>139</v>
      </c>
      <c r="D202" s="9" t="s">
        <v>108</v>
      </c>
      <c r="E202" s="9" t="s">
        <v>25</v>
      </c>
      <c r="F202" s="9" t="s">
        <v>35</v>
      </c>
      <c r="G202" s="9" t="s">
        <v>36</v>
      </c>
      <c r="H202" s="17">
        <v>39617</v>
      </c>
      <c r="I202" s="17">
        <v>39618</v>
      </c>
      <c r="J202" s="18">
        <v>2</v>
      </c>
      <c r="K202" s="122"/>
      <c r="L202" s="122"/>
      <c r="M202" s="122"/>
      <c r="N202" s="122"/>
      <c r="O202" s="1"/>
      <c r="P202" s="1"/>
      <c r="Q202" s="1"/>
      <c r="R202" s="1"/>
      <c r="S202" s="122">
        <f>AJ202*AM202*AN202*0.01</f>
        <v>680.98159509202458</v>
      </c>
      <c r="T202" s="122">
        <f>S202*0.4089</f>
        <v>278.45337423312884</v>
      </c>
      <c r="U202" s="122">
        <f>S202*0.0263</f>
        <v>17.909815950920247</v>
      </c>
      <c r="V202" s="123"/>
      <c r="W202" s="1"/>
      <c r="X202" s="1"/>
      <c r="Y202" s="122"/>
      <c r="Z202" s="122"/>
      <c r="AG202" s="124">
        <v>3.26</v>
      </c>
      <c r="AH202" s="1">
        <v>2</v>
      </c>
      <c r="AI202" s="1"/>
      <c r="AJ202" s="124">
        <f t="shared" si="8"/>
        <v>0.61349693251533743</v>
      </c>
      <c r="AK202" s="1" t="s">
        <v>67</v>
      </c>
      <c r="AL202" s="122"/>
      <c r="AM202" s="122">
        <v>3000</v>
      </c>
      <c r="AN202" s="122">
        <v>37</v>
      </c>
      <c r="AO202" s="122"/>
      <c r="AP202" s="122"/>
      <c r="AQ202" s="122"/>
      <c r="AR202" s="122"/>
    </row>
    <row r="203" spans="1:44">
      <c r="A203" s="75">
        <v>202</v>
      </c>
      <c r="B203" s="114">
        <v>2008</v>
      </c>
      <c r="C203" s="118" t="s">
        <v>139</v>
      </c>
      <c r="D203" s="9" t="s">
        <v>108</v>
      </c>
      <c r="E203" s="9" t="s">
        <v>25</v>
      </c>
      <c r="F203" s="9" t="s">
        <v>35</v>
      </c>
      <c r="G203" s="33" t="s">
        <v>43</v>
      </c>
      <c r="H203" s="17">
        <v>39617</v>
      </c>
      <c r="I203" s="17">
        <v>39618</v>
      </c>
      <c r="J203" s="18">
        <v>2</v>
      </c>
      <c r="K203" s="122"/>
      <c r="L203" s="122"/>
      <c r="M203" s="122"/>
      <c r="N203" s="122"/>
      <c r="O203" s="1"/>
      <c r="P203" s="1"/>
      <c r="Q203" s="1"/>
      <c r="R203" s="1"/>
      <c r="S203" s="122">
        <f>AJ203*AM203*AN203*0.01</f>
        <v>966.25766871165649</v>
      </c>
      <c r="T203" s="122">
        <f>S203*0.4089</f>
        <v>395.10276073619633</v>
      </c>
      <c r="U203" s="122">
        <f>S203*0.0263</f>
        <v>25.412576687116566</v>
      </c>
      <c r="V203" s="123"/>
      <c r="W203" s="1"/>
      <c r="X203" s="1"/>
      <c r="Y203" s="122"/>
      <c r="Z203" s="122"/>
      <c r="AG203" s="124">
        <v>3.26</v>
      </c>
      <c r="AH203" s="1">
        <v>3</v>
      </c>
      <c r="AI203" s="1"/>
      <c r="AJ203" s="124">
        <f t="shared" si="8"/>
        <v>0.92024539877300615</v>
      </c>
      <c r="AK203" s="1" t="s">
        <v>67</v>
      </c>
      <c r="AL203" s="122"/>
      <c r="AM203" s="122">
        <v>1500</v>
      </c>
      <c r="AN203" s="122">
        <v>70</v>
      </c>
      <c r="AO203" s="122"/>
      <c r="AP203" s="122"/>
      <c r="AQ203" s="122"/>
      <c r="AR203" s="122"/>
    </row>
    <row r="204" spans="1:44">
      <c r="A204" s="75">
        <v>203</v>
      </c>
      <c r="B204" s="114">
        <v>2008</v>
      </c>
      <c r="C204" s="118" t="s">
        <v>139</v>
      </c>
      <c r="D204" s="9" t="s">
        <v>108</v>
      </c>
      <c r="E204" s="9" t="s">
        <v>17</v>
      </c>
      <c r="F204" s="9" t="s">
        <v>37</v>
      </c>
      <c r="G204" s="9" t="s">
        <v>48</v>
      </c>
      <c r="H204" s="17">
        <v>39625</v>
      </c>
      <c r="I204" s="17"/>
      <c r="J204" s="18"/>
      <c r="K204" s="137">
        <v>63.5</v>
      </c>
      <c r="L204" s="137">
        <v>29.9</v>
      </c>
      <c r="M204" s="1">
        <v>0.79</v>
      </c>
      <c r="N204" s="137">
        <v>387.7</v>
      </c>
      <c r="O204" s="137">
        <v>6.1</v>
      </c>
      <c r="P204" s="122">
        <f>AJ204*1000*AN204/100</f>
        <v>573.61963190184042</v>
      </c>
      <c r="Q204" s="122">
        <f>N204*P204/1000</f>
        <v>222.39233128834354</v>
      </c>
      <c r="R204" s="122">
        <f>K204*P204/1000</f>
        <v>36.424846625766868</v>
      </c>
      <c r="S204" s="122"/>
      <c r="T204" s="122">
        <f>$AJ204*1000*$AN204*0.01*$N204*0.001</f>
        <v>222.39233128834357</v>
      </c>
      <c r="U204" s="122">
        <f>$AJ204*1000*$AN204*0.01*$K204*0.001</f>
        <v>36.424846625766875</v>
      </c>
      <c r="V204" s="123"/>
      <c r="W204" s="137"/>
      <c r="X204" s="137"/>
      <c r="Y204" s="122"/>
      <c r="Z204" s="122"/>
      <c r="AG204" s="124">
        <v>3.26</v>
      </c>
      <c r="AH204" s="1">
        <v>110</v>
      </c>
      <c r="AI204" s="1"/>
      <c r="AJ204" s="124">
        <f t="shared" si="8"/>
        <v>33.742331288343557</v>
      </c>
      <c r="AK204" s="1" t="s">
        <v>5</v>
      </c>
      <c r="AL204" s="122"/>
      <c r="AM204" s="122"/>
      <c r="AN204" s="122">
        <v>1.7</v>
      </c>
      <c r="AO204" s="122">
        <v>37.116564417177919</v>
      </c>
      <c r="AP204" s="122">
        <v>22.269938650306752</v>
      </c>
      <c r="AQ204" s="122">
        <v>67.484662576687114</v>
      </c>
      <c r="AR204" s="122">
        <v>3.3742331288343559</v>
      </c>
    </row>
    <row r="205" spans="1:44">
      <c r="A205" s="75">
        <v>204</v>
      </c>
      <c r="B205" s="114">
        <v>2008</v>
      </c>
      <c r="C205" s="118" t="s">
        <v>139</v>
      </c>
      <c r="D205" s="9" t="s">
        <v>108</v>
      </c>
      <c r="E205" s="9" t="s">
        <v>25</v>
      </c>
      <c r="F205" s="9" t="s">
        <v>35</v>
      </c>
      <c r="G205" s="9" t="s">
        <v>36</v>
      </c>
      <c r="H205" s="17">
        <v>39652</v>
      </c>
      <c r="I205" s="17">
        <v>39653</v>
      </c>
      <c r="J205" s="18">
        <v>3</v>
      </c>
      <c r="K205" s="122"/>
      <c r="L205" s="122"/>
      <c r="M205" s="122"/>
      <c r="N205" s="122"/>
      <c r="O205" s="1"/>
      <c r="P205" s="1"/>
      <c r="Q205" s="1"/>
      <c r="R205" s="1"/>
      <c r="S205" s="122">
        <f>AJ205*AM205*AN205*0.01</f>
        <v>1191.717791411043</v>
      </c>
      <c r="T205" s="122">
        <f>S205*0.4089</f>
        <v>487.29340490797546</v>
      </c>
      <c r="U205" s="122">
        <f>S205*0.0263</f>
        <v>31.34217791411043</v>
      </c>
      <c r="V205" s="123"/>
      <c r="W205" s="1"/>
      <c r="X205" s="1"/>
      <c r="Y205" s="122"/>
      <c r="Z205" s="122"/>
      <c r="AG205" s="124">
        <v>3.26</v>
      </c>
      <c r="AH205" s="1">
        <v>3.5</v>
      </c>
      <c r="AI205" s="1"/>
      <c r="AJ205" s="124">
        <f t="shared" si="8"/>
        <v>1.0736196319018405</v>
      </c>
      <c r="AK205" s="1" t="s">
        <v>67</v>
      </c>
      <c r="AL205" s="122"/>
      <c r="AM205" s="122">
        <v>3000</v>
      </c>
      <c r="AN205" s="122">
        <v>37</v>
      </c>
      <c r="AO205" s="122"/>
      <c r="AP205" s="122"/>
      <c r="AQ205" s="122"/>
      <c r="AR205" s="122"/>
    </row>
    <row r="206" spans="1:44">
      <c r="A206" s="75">
        <v>205</v>
      </c>
      <c r="B206" s="114">
        <v>2008</v>
      </c>
      <c r="C206" s="118" t="s">
        <v>139</v>
      </c>
      <c r="D206" s="9" t="s">
        <v>108</v>
      </c>
      <c r="E206" s="9" t="s">
        <v>17</v>
      </c>
      <c r="F206" s="9" t="s">
        <v>37</v>
      </c>
      <c r="G206" s="9" t="s">
        <v>48</v>
      </c>
      <c r="H206" s="17">
        <v>39658</v>
      </c>
      <c r="I206" s="17"/>
      <c r="J206" s="18"/>
      <c r="K206" s="137">
        <v>93.7</v>
      </c>
      <c r="L206" s="137">
        <v>38.1</v>
      </c>
      <c r="M206" s="1">
        <v>3.09</v>
      </c>
      <c r="N206" s="137">
        <v>388.6</v>
      </c>
      <c r="O206" s="137">
        <v>4.2</v>
      </c>
      <c r="P206" s="122">
        <f>AJ206*1000*AN206/100</f>
        <v>374.84662576687123</v>
      </c>
      <c r="Q206" s="122">
        <f>N206*P206/1000</f>
        <v>145.66539877300616</v>
      </c>
      <c r="R206" s="122">
        <f>K206*P206/1000</f>
        <v>35.123128834355832</v>
      </c>
      <c r="S206" s="122"/>
      <c r="T206" s="122">
        <f>$AJ206*1000*$AN206*0.01*$N206*0.001</f>
        <v>145.66539877300616</v>
      </c>
      <c r="U206" s="122">
        <f>$AJ206*1000*$AN206*0.01*$K206*0.001</f>
        <v>35.123128834355832</v>
      </c>
      <c r="V206" s="123"/>
      <c r="W206" s="137"/>
      <c r="X206" s="137"/>
      <c r="Y206" s="122"/>
      <c r="Z206" s="122"/>
      <c r="AG206" s="124">
        <v>3.26</v>
      </c>
      <c r="AH206" s="1">
        <v>94</v>
      </c>
      <c r="AI206" s="1"/>
      <c r="AJ206" s="124">
        <f t="shared" si="8"/>
        <v>28.834355828220861</v>
      </c>
      <c r="AK206" s="1" t="s">
        <v>5</v>
      </c>
      <c r="AL206" s="122"/>
      <c r="AM206" s="122"/>
      <c r="AN206" s="122">
        <v>1.3</v>
      </c>
      <c r="AO206" s="122">
        <v>20.184049079754601</v>
      </c>
      <c r="AP206" s="122">
        <v>17.300613496932517</v>
      </c>
      <c r="AQ206" s="122">
        <v>74.969325153374243</v>
      </c>
      <c r="AR206" s="122">
        <v>2.8834355828220861</v>
      </c>
    </row>
    <row r="207" spans="1:44">
      <c r="A207" s="75">
        <v>206</v>
      </c>
      <c r="B207" s="114">
        <v>2008</v>
      </c>
      <c r="C207" s="118" t="s">
        <v>139</v>
      </c>
      <c r="D207" s="9" t="s">
        <v>108</v>
      </c>
      <c r="E207" s="9" t="s">
        <v>25</v>
      </c>
      <c r="F207" s="9" t="s">
        <v>35</v>
      </c>
      <c r="G207" s="9" t="s">
        <v>36</v>
      </c>
      <c r="H207" s="17">
        <v>39687</v>
      </c>
      <c r="I207" s="17">
        <v>39688</v>
      </c>
      <c r="J207" s="18">
        <v>4</v>
      </c>
      <c r="K207" s="122"/>
      <c r="L207" s="122"/>
      <c r="M207" s="122"/>
      <c r="N207" s="122"/>
      <c r="O207" s="1"/>
      <c r="P207" s="1"/>
      <c r="Q207" s="1"/>
      <c r="R207" s="1"/>
      <c r="S207" s="122">
        <f>AJ207*AM207*AN207*0.01</f>
        <v>1021.4723926380368</v>
      </c>
      <c r="T207" s="122">
        <f>S207*0.4089</f>
        <v>417.68006134969323</v>
      </c>
      <c r="U207" s="122">
        <f>S207*0.0263</f>
        <v>26.864723926380368</v>
      </c>
      <c r="V207" s="123"/>
      <c r="W207" s="1"/>
      <c r="X207" s="1"/>
      <c r="Y207" s="122"/>
      <c r="Z207" s="122"/>
      <c r="AG207" s="124">
        <v>3.26</v>
      </c>
      <c r="AH207" s="1">
        <v>3</v>
      </c>
      <c r="AI207" s="1"/>
      <c r="AJ207" s="124">
        <f t="shared" si="8"/>
        <v>0.92024539877300615</v>
      </c>
      <c r="AK207" s="1" t="s">
        <v>67</v>
      </c>
      <c r="AL207" s="122"/>
      <c r="AM207" s="122">
        <v>3000</v>
      </c>
      <c r="AN207" s="122">
        <v>37</v>
      </c>
      <c r="AO207" s="122"/>
      <c r="AP207" s="122"/>
      <c r="AQ207" s="122"/>
      <c r="AR207" s="122"/>
    </row>
    <row r="208" spans="1:44">
      <c r="A208" s="75">
        <v>207</v>
      </c>
      <c r="B208" s="114">
        <v>2008</v>
      </c>
      <c r="C208" s="118" t="s">
        <v>139</v>
      </c>
      <c r="D208" s="9" t="s">
        <v>108</v>
      </c>
      <c r="E208" s="9" t="s">
        <v>17</v>
      </c>
      <c r="F208" s="9" t="s">
        <v>37</v>
      </c>
      <c r="G208" s="34" t="s">
        <v>48</v>
      </c>
      <c r="H208" s="17">
        <v>39693</v>
      </c>
      <c r="I208" s="17"/>
      <c r="J208" s="18"/>
      <c r="K208" s="137">
        <v>81.7</v>
      </c>
      <c r="L208" s="137">
        <v>41.3</v>
      </c>
      <c r="M208" s="1">
        <v>3.67</v>
      </c>
      <c r="N208" s="137">
        <v>361.9</v>
      </c>
      <c r="O208" s="137">
        <v>4.4000000000000004</v>
      </c>
      <c r="P208" s="122">
        <f>AJ208*1000*AN208/100</f>
        <v>371.16564417177915</v>
      </c>
      <c r="Q208" s="122">
        <f>N208*P208/1000</f>
        <v>134.32484662576687</v>
      </c>
      <c r="R208" s="122">
        <f>K208*P208/1000</f>
        <v>30.324233128834358</v>
      </c>
      <c r="S208" s="122"/>
      <c r="T208" s="122">
        <f>$AJ208*1000*$AN208*0.01*$N208*0.001</f>
        <v>134.32484662576687</v>
      </c>
      <c r="U208" s="122">
        <f>$AJ208*1000*$AN208*0.01*$K208*0.001</f>
        <v>30.324233128834361</v>
      </c>
      <c r="V208" s="123"/>
      <c r="W208" s="137"/>
      <c r="X208" s="137"/>
      <c r="Y208" s="122"/>
      <c r="Z208" s="122"/>
      <c r="AG208" s="124">
        <v>3.26</v>
      </c>
      <c r="AH208" s="1">
        <v>110</v>
      </c>
      <c r="AI208" s="1"/>
      <c r="AJ208" s="124">
        <f t="shared" si="8"/>
        <v>33.742331288343557</v>
      </c>
      <c r="AK208" s="1" t="s">
        <v>5</v>
      </c>
      <c r="AL208" s="122"/>
      <c r="AM208" s="122"/>
      <c r="AN208" s="122">
        <v>1.1000000000000001</v>
      </c>
      <c r="AO208" s="122">
        <v>37.116564417177919</v>
      </c>
      <c r="AP208" s="122">
        <v>22.269938650306752</v>
      </c>
      <c r="AQ208" s="122">
        <v>67.484662576687114</v>
      </c>
      <c r="AR208" s="122">
        <v>3.3742331288343559</v>
      </c>
    </row>
    <row r="209" spans="1:44">
      <c r="A209" s="75">
        <v>208</v>
      </c>
      <c r="B209" s="114">
        <v>2008</v>
      </c>
      <c r="C209" s="118" t="s">
        <v>139</v>
      </c>
      <c r="D209" s="9" t="s">
        <v>108</v>
      </c>
      <c r="E209" s="9" t="s">
        <v>25</v>
      </c>
      <c r="F209" s="9" t="s">
        <v>35</v>
      </c>
      <c r="G209" s="9" t="s">
        <v>36</v>
      </c>
      <c r="H209" s="17">
        <v>39719</v>
      </c>
      <c r="I209" s="17">
        <v>39720</v>
      </c>
      <c r="J209" s="18">
        <v>5</v>
      </c>
      <c r="K209" s="122"/>
      <c r="L209" s="122"/>
      <c r="M209" s="122"/>
      <c r="N209" s="122"/>
      <c r="O209" s="1"/>
      <c r="P209" s="1"/>
      <c r="Q209" s="1"/>
      <c r="R209" s="1"/>
      <c r="S209" s="122">
        <f>AJ209*AM209*AN209*0.01</f>
        <v>349.00306748466261</v>
      </c>
      <c r="T209" s="122">
        <f>S209*0.4089</f>
        <v>142.70735429447853</v>
      </c>
      <c r="U209" s="122">
        <f>S209*0.0263</f>
        <v>9.1787806748466263</v>
      </c>
      <c r="V209" s="123"/>
      <c r="W209" s="1"/>
      <c r="X209" s="1"/>
      <c r="Y209" s="122"/>
      <c r="Z209" s="122"/>
      <c r="AG209" s="124">
        <v>3.26</v>
      </c>
      <c r="AH209" s="1">
        <v>5</v>
      </c>
      <c r="AI209" s="1"/>
      <c r="AJ209" s="124">
        <f t="shared" si="8"/>
        <v>1.5337423312883436</v>
      </c>
      <c r="AK209" s="137" t="s">
        <v>70</v>
      </c>
      <c r="AL209" s="122"/>
      <c r="AM209" s="122">
        <v>615</v>
      </c>
      <c r="AN209" s="122">
        <v>37</v>
      </c>
      <c r="AO209" s="122"/>
      <c r="AP209" s="122"/>
      <c r="AQ209" s="122"/>
      <c r="AR209" s="122"/>
    </row>
    <row r="210" spans="1:44">
      <c r="A210" s="75">
        <v>209</v>
      </c>
      <c r="B210" s="114">
        <v>2008</v>
      </c>
      <c r="C210" s="118" t="s">
        <v>139</v>
      </c>
      <c r="D210" s="9" t="s">
        <v>108</v>
      </c>
      <c r="E210" s="9" t="s">
        <v>23</v>
      </c>
      <c r="F210" s="9" t="s">
        <v>38</v>
      </c>
      <c r="G210" s="9" t="s">
        <v>50</v>
      </c>
      <c r="H210" s="17">
        <v>39721</v>
      </c>
      <c r="I210" s="17"/>
      <c r="J210" s="18"/>
      <c r="K210" s="122"/>
      <c r="L210" s="122"/>
      <c r="M210"/>
      <c r="N210" s="122"/>
      <c r="O210" s="122"/>
      <c r="P210" s="122"/>
      <c r="Q210" s="122"/>
      <c r="R210" s="122"/>
      <c r="S210" s="122"/>
      <c r="T210" s="122"/>
      <c r="U210" s="122"/>
      <c r="V210" s="123"/>
      <c r="W210" s="122"/>
      <c r="X210" s="122"/>
      <c r="Y210" s="122"/>
      <c r="Z210" s="122"/>
      <c r="AG210" s="124">
        <v>3.26</v>
      </c>
      <c r="AH210" s="1">
        <v>55</v>
      </c>
      <c r="AI210" s="1"/>
      <c r="AJ210" s="124">
        <f t="shared" si="8"/>
        <v>16.871165644171779</v>
      </c>
      <c r="AK210" s="1" t="s">
        <v>3</v>
      </c>
      <c r="AL210" s="122"/>
      <c r="AM210" s="122"/>
      <c r="AN210" s="122"/>
      <c r="AO210" s="122"/>
      <c r="AP210" s="122"/>
      <c r="AQ210" s="122"/>
      <c r="AR210" s="122"/>
    </row>
    <row r="211" spans="1:44">
      <c r="A211" s="75">
        <v>210</v>
      </c>
      <c r="B211" s="114">
        <v>2008</v>
      </c>
      <c r="C211" s="118" t="s">
        <v>139</v>
      </c>
      <c r="D211" s="9" t="s">
        <v>108</v>
      </c>
      <c r="E211" s="9" t="s">
        <v>25</v>
      </c>
      <c r="F211" s="9" t="s">
        <v>35</v>
      </c>
      <c r="G211" s="9" t="s">
        <v>36</v>
      </c>
      <c r="H211" s="17">
        <v>39746</v>
      </c>
      <c r="I211" s="17">
        <v>39747</v>
      </c>
      <c r="J211" s="18">
        <v>6</v>
      </c>
      <c r="K211" s="122"/>
      <c r="L211" s="122"/>
      <c r="M211" s="122"/>
      <c r="N211" s="122"/>
      <c r="O211" s="1"/>
      <c r="P211" s="1"/>
      <c r="Q211" s="1"/>
      <c r="R211" s="1"/>
      <c r="S211" s="122">
        <f>AJ211*AM211*AN211*0.01</f>
        <v>418.80368098159516</v>
      </c>
      <c r="T211" s="122">
        <f>S211*0.4089</f>
        <v>171.24882515337427</v>
      </c>
      <c r="U211" s="122">
        <f>S211*0.0263</f>
        <v>11.014536809815953</v>
      </c>
      <c r="V211" s="123"/>
      <c r="W211" s="1"/>
      <c r="X211" s="1"/>
      <c r="Y211" s="122"/>
      <c r="Z211" s="122"/>
      <c r="AG211" s="124">
        <v>3.26</v>
      </c>
      <c r="AH211" s="1">
        <v>6</v>
      </c>
      <c r="AI211" s="1"/>
      <c r="AJ211" s="124">
        <f t="shared" si="8"/>
        <v>1.8404907975460123</v>
      </c>
      <c r="AK211" s="137" t="s">
        <v>70</v>
      </c>
      <c r="AL211" s="122"/>
      <c r="AM211" s="122">
        <v>615</v>
      </c>
      <c r="AN211" s="122">
        <v>37</v>
      </c>
      <c r="AO211" s="122"/>
      <c r="AP211" s="122"/>
      <c r="AQ211" s="122"/>
      <c r="AR211" s="122"/>
    </row>
    <row r="212" spans="1:44">
      <c r="A212" s="75">
        <v>211</v>
      </c>
      <c r="B212" s="114">
        <v>2008</v>
      </c>
      <c r="C212" s="118" t="s">
        <v>139</v>
      </c>
      <c r="D212" s="9" t="s">
        <v>108</v>
      </c>
      <c r="E212" s="9" t="s">
        <v>25</v>
      </c>
      <c r="F212" s="9" t="s">
        <v>29</v>
      </c>
      <c r="G212" s="9" t="s">
        <v>47</v>
      </c>
      <c r="H212" s="17">
        <v>39753</v>
      </c>
      <c r="I212" s="17">
        <v>39756</v>
      </c>
      <c r="J212" s="18">
        <v>6</v>
      </c>
      <c r="K212" s="122"/>
      <c r="L212" s="122"/>
      <c r="M212" s="122"/>
      <c r="N212" s="122"/>
      <c r="O212" s="1"/>
      <c r="P212" s="1"/>
      <c r="Q212" s="1"/>
      <c r="R212" s="1"/>
      <c r="S212" s="122">
        <f>AJ212*AM212*AL212</f>
        <v>110.42944785276075</v>
      </c>
      <c r="T212" s="122">
        <f>$S212*0.4089</f>
        <v>45.154601226993869</v>
      </c>
      <c r="U212" s="122">
        <f>$S212*0.0263</f>
        <v>2.9042944785276075</v>
      </c>
      <c r="V212" s="123"/>
      <c r="W212" s="1"/>
      <c r="X212" s="1"/>
      <c r="Y212" s="122"/>
      <c r="Z212" s="122"/>
      <c r="AG212" s="124">
        <v>3.26</v>
      </c>
      <c r="AH212" s="124">
        <v>80</v>
      </c>
      <c r="AI212" s="124"/>
      <c r="AJ212" s="124">
        <f t="shared" si="8"/>
        <v>24.539877300613497</v>
      </c>
      <c r="AK212" s="1" t="s">
        <v>66</v>
      </c>
      <c r="AL212" s="122">
        <v>3</v>
      </c>
      <c r="AM212" s="122">
        <v>1.5</v>
      </c>
      <c r="AN212" s="122"/>
      <c r="AO212" s="122"/>
      <c r="AP212" s="122"/>
      <c r="AQ212" s="122"/>
      <c r="AR212" s="122"/>
    </row>
    <row r="213" spans="1:44">
      <c r="A213" s="75">
        <v>212</v>
      </c>
      <c r="B213" s="114">
        <v>2008</v>
      </c>
      <c r="C213" s="118" t="s">
        <v>139</v>
      </c>
      <c r="D213" s="9" t="s">
        <v>108</v>
      </c>
      <c r="E213" s="9" t="s">
        <v>25</v>
      </c>
      <c r="F213" s="9" t="s">
        <v>29</v>
      </c>
      <c r="G213" s="9" t="s">
        <v>47</v>
      </c>
      <c r="H213" s="17">
        <v>39793</v>
      </c>
      <c r="I213" s="17">
        <v>39799</v>
      </c>
      <c r="J213" s="18"/>
      <c r="K213" s="122"/>
      <c r="L213" s="122"/>
      <c r="M213" s="122"/>
      <c r="N213" s="122"/>
      <c r="O213" s="1"/>
      <c r="P213" s="1"/>
      <c r="Q213" s="1"/>
      <c r="R213" s="1"/>
      <c r="S213" s="122">
        <f>AJ213*AM213*AL213</f>
        <v>124.23312883435584</v>
      </c>
      <c r="T213" s="122">
        <f>$S213*0.4089</f>
        <v>50.798926380368101</v>
      </c>
      <c r="U213" s="122">
        <f>$S213*0.0263</f>
        <v>3.2673312883435588</v>
      </c>
      <c r="V213" s="123"/>
      <c r="W213" s="1"/>
      <c r="X213" s="1"/>
      <c r="Y213" s="122"/>
      <c r="Z213" s="122"/>
      <c r="AG213" s="124">
        <v>3.26</v>
      </c>
      <c r="AH213" s="124">
        <v>45</v>
      </c>
      <c r="AI213" s="124"/>
      <c r="AJ213" s="124">
        <f t="shared" si="8"/>
        <v>13.803680981595093</v>
      </c>
      <c r="AK213" s="1" t="s">
        <v>66</v>
      </c>
      <c r="AL213" s="122">
        <v>6</v>
      </c>
      <c r="AM213" s="122">
        <v>1.5</v>
      </c>
      <c r="AN213" s="122"/>
      <c r="AO213" s="122"/>
      <c r="AP213" s="122"/>
      <c r="AQ213" s="122"/>
      <c r="AR213" s="122"/>
    </row>
    <row r="214" spans="1:44">
      <c r="A214" s="75">
        <v>213</v>
      </c>
      <c r="B214" s="113">
        <v>2009</v>
      </c>
      <c r="C214" s="117" t="s">
        <v>138</v>
      </c>
      <c r="D214" s="9" t="s">
        <v>108</v>
      </c>
      <c r="E214" s="9" t="s">
        <v>17</v>
      </c>
      <c r="F214" s="9" t="s">
        <v>37</v>
      </c>
      <c r="G214" s="9" t="s">
        <v>48</v>
      </c>
      <c r="H214" s="17">
        <v>39870</v>
      </c>
      <c r="I214" s="17"/>
      <c r="J214" s="18"/>
      <c r="K214" s="122">
        <v>39.75</v>
      </c>
      <c r="L214" s="122">
        <v>16.77</v>
      </c>
      <c r="M214" s="1">
        <v>1.24</v>
      </c>
      <c r="N214" s="122">
        <v>382.49</v>
      </c>
      <c r="O214" s="122">
        <v>9.6199999999999992</v>
      </c>
      <c r="P214" s="122">
        <f>AJ214*1000*AN214/100</f>
        <v>1133.8028169014087</v>
      </c>
      <c r="Q214" s="122">
        <f>N214*P214/1000</f>
        <v>433.66823943661984</v>
      </c>
      <c r="R214" s="122">
        <f>K214*P214/1000</f>
        <v>45.068661971830998</v>
      </c>
      <c r="S214" s="122"/>
      <c r="T214" s="122">
        <f>$AJ214*1000*$AN214*0.01*$N214*0.001</f>
        <v>433.66823943661984</v>
      </c>
      <c r="U214" s="122">
        <f>$AJ214*1000*$AN214*0.01*$K214*0.001</f>
        <v>45.068661971830998</v>
      </c>
      <c r="V214" s="123"/>
      <c r="W214" s="122"/>
      <c r="X214" s="122"/>
      <c r="Y214" s="122"/>
      <c r="Z214" s="122"/>
      <c r="AG214" s="124">
        <v>1.42</v>
      </c>
      <c r="AH214" s="1">
        <v>100</v>
      </c>
      <c r="AI214" s="1"/>
      <c r="AJ214" s="124">
        <f t="shared" si="8"/>
        <v>70.422535211267615</v>
      </c>
      <c r="AK214" s="1" t="s">
        <v>5</v>
      </c>
      <c r="AL214" s="122"/>
      <c r="AM214" s="122"/>
      <c r="AN214" s="122">
        <v>1.61</v>
      </c>
      <c r="AO214" s="122">
        <v>77.464788732394382</v>
      </c>
      <c r="AP214" s="122">
        <v>46.478873239436624</v>
      </c>
      <c r="AQ214" s="122">
        <v>140.84507042253523</v>
      </c>
      <c r="AR214" s="122">
        <v>7.042253521126761</v>
      </c>
    </row>
    <row r="215" spans="1:44">
      <c r="A215" s="75">
        <v>214</v>
      </c>
      <c r="B215" s="113">
        <v>2009</v>
      </c>
      <c r="C215" s="117" t="s">
        <v>138</v>
      </c>
      <c r="D215" s="9" t="s">
        <v>108</v>
      </c>
      <c r="E215" s="9" t="s">
        <v>25</v>
      </c>
      <c r="F215" s="9" t="s">
        <v>29</v>
      </c>
      <c r="G215" s="9" t="s">
        <v>47</v>
      </c>
      <c r="H215" s="17">
        <v>39910</v>
      </c>
      <c r="I215" s="17">
        <v>39923</v>
      </c>
      <c r="J215" s="18">
        <v>1</v>
      </c>
      <c r="K215" s="122"/>
      <c r="L215" s="122"/>
      <c r="M215" s="122"/>
      <c r="N215" s="122"/>
      <c r="O215" s="122"/>
      <c r="P215" s="122"/>
      <c r="Q215" s="122"/>
      <c r="R215" s="122"/>
      <c r="S215" s="122">
        <f>AJ215*AM215*AL215</f>
        <v>1373.2394366197184</v>
      </c>
      <c r="T215" s="122">
        <f>$S215*0.4089</f>
        <v>561.51760563380287</v>
      </c>
      <c r="U215" s="122">
        <f>$S215*0.0263</f>
        <v>36.116197183098592</v>
      </c>
      <c r="V215" s="123"/>
      <c r="W215" s="122"/>
      <c r="X215" s="122"/>
      <c r="Y215" s="122"/>
      <c r="Z215" s="122"/>
      <c r="AG215" s="124">
        <v>1.42</v>
      </c>
      <c r="AH215" s="124">
        <v>100</v>
      </c>
      <c r="AI215" s="124"/>
      <c r="AJ215" s="124">
        <f t="shared" si="8"/>
        <v>70.422535211267615</v>
      </c>
      <c r="AK215" s="1" t="s">
        <v>66</v>
      </c>
      <c r="AL215" s="122">
        <v>13</v>
      </c>
      <c r="AM215" s="122">
        <v>1.5</v>
      </c>
      <c r="AN215" s="122"/>
      <c r="AO215" s="122"/>
      <c r="AP215" s="122"/>
      <c r="AQ215" s="122"/>
      <c r="AR215" s="122"/>
    </row>
    <row r="216" spans="1:44">
      <c r="A216" s="75">
        <v>215</v>
      </c>
      <c r="B216" s="113">
        <v>2009</v>
      </c>
      <c r="C216" s="117" t="s">
        <v>138</v>
      </c>
      <c r="D216" s="9" t="s">
        <v>108</v>
      </c>
      <c r="E216" s="9" t="s">
        <v>25</v>
      </c>
      <c r="F216" s="9" t="s">
        <v>29</v>
      </c>
      <c r="G216" s="9" t="s">
        <v>47</v>
      </c>
      <c r="H216" s="17">
        <v>39945</v>
      </c>
      <c r="I216" s="17">
        <v>39959</v>
      </c>
      <c r="J216" s="18">
        <v>2</v>
      </c>
      <c r="K216" s="122"/>
      <c r="L216" s="122"/>
      <c r="M216" s="122"/>
      <c r="N216" s="122"/>
      <c r="O216" s="122"/>
      <c r="P216" s="122"/>
      <c r="Q216" s="122"/>
      <c r="R216" s="122"/>
      <c r="S216" s="122">
        <f>AJ216*AM216*AL216</f>
        <v>1552.816901408451</v>
      </c>
      <c r="T216" s="122">
        <f>$S216*0.4089</f>
        <v>634.94683098591565</v>
      </c>
      <c r="U216" s="122">
        <f>$S216*0.0263</f>
        <v>40.839084507042266</v>
      </c>
      <c r="V216" s="123"/>
      <c r="W216" s="122"/>
      <c r="X216" s="122"/>
      <c r="Y216" s="122"/>
      <c r="Z216" s="122"/>
      <c r="AG216" s="124">
        <v>1.42</v>
      </c>
      <c r="AH216" s="124">
        <v>105</v>
      </c>
      <c r="AI216" s="124"/>
      <c r="AJ216" s="124">
        <f t="shared" si="8"/>
        <v>73.943661971830991</v>
      </c>
      <c r="AK216" s="1" t="s">
        <v>66</v>
      </c>
      <c r="AL216" s="122">
        <v>14</v>
      </c>
      <c r="AM216" s="122">
        <v>1.5</v>
      </c>
      <c r="AN216" s="122"/>
      <c r="AO216" s="122"/>
      <c r="AP216" s="122"/>
      <c r="AQ216" s="122"/>
      <c r="AR216" s="122"/>
    </row>
    <row r="217" spans="1:44">
      <c r="A217" s="75">
        <v>216</v>
      </c>
      <c r="B217" s="113">
        <v>2009</v>
      </c>
      <c r="C217" s="117" t="s">
        <v>138</v>
      </c>
      <c r="D217" s="9" t="s">
        <v>108</v>
      </c>
      <c r="E217" s="9" t="s">
        <v>25</v>
      </c>
      <c r="F217" s="9" t="s">
        <v>35</v>
      </c>
      <c r="G217" s="9" t="s">
        <v>36</v>
      </c>
      <c r="H217" s="17">
        <v>39952</v>
      </c>
      <c r="I217" s="17">
        <v>39953</v>
      </c>
      <c r="J217" s="18">
        <v>2</v>
      </c>
      <c r="K217" s="122"/>
      <c r="L217" s="122"/>
      <c r="M217" s="122"/>
      <c r="N217" s="122"/>
      <c r="O217" s="122"/>
      <c r="P217" s="122"/>
      <c r="Q217" s="122"/>
      <c r="R217" s="122"/>
      <c r="S217" s="122">
        <f>AJ217*AM217*AN217*0.01</f>
        <v>390.84507042253529</v>
      </c>
      <c r="T217" s="122">
        <f>S217*0.4089</f>
        <v>159.81654929577468</v>
      </c>
      <c r="U217" s="122">
        <f>S217*0.0263</f>
        <v>10.279225352112679</v>
      </c>
      <c r="V217" s="123"/>
      <c r="W217" s="122"/>
      <c r="X217" s="122"/>
      <c r="Y217" s="122"/>
      <c r="Z217" s="122"/>
      <c r="AG217" s="124">
        <v>1.42</v>
      </c>
      <c r="AH217" s="1">
        <v>0.5</v>
      </c>
      <c r="AI217" s="1"/>
      <c r="AJ217" s="124">
        <f t="shared" si="8"/>
        <v>0.35211267605633806</v>
      </c>
      <c r="AK217" s="1" t="s">
        <v>67</v>
      </c>
      <c r="AL217" s="122"/>
      <c r="AM217" s="122">
        <v>3000</v>
      </c>
      <c r="AN217" s="122">
        <v>37</v>
      </c>
      <c r="AO217" s="122"/>
      <c r="AP217" s="122"/>
      <c r="AQ217" s="122"/>
      <c r="AR217" s="122"/>
    </row>
    <row r="218" spans="1:44">
      <c r="A218" s="75">
        <v>217</v>
      </c>
      <c r="B218" s="113">
        <v>2009</v>
      </c>
      <c r="C218" s="117" t="s">
        <v>138</v>
      </c>
      <c r="D218" s="9" t="s">
        <v>108</v>
      </c>
      <c r="E218" s="9" t="s">
        <v>17</v>
      </c>
      <c r="F218" s="9" t="s">
        <v>37</v>
      </c>
      <c r="G218" s="9" t="s">
        <v>48</v>
      </c>
      <c r="H218" s="17">
        <v>39960</v>
      </c>
      <c r="I218" s="17"/>
      <c r="J218" s="18"/>
      <c r="K218" s="122">
        <v>119.16</v>
      </c>
      <c r="L218" s="122">
        <v>44.31</v>
      </c>
      <c r="M218" s="122" t="s">
        <v>62</v>
      </c>
      <c r="N218" s="122">
        <v>391.83</v>
      </c>
      <c r="O218" s="122">
        <v>3.29</v>
      </c>
      <c r="P218" s="122">
        <f>AJ218*1000*AN218/100</f>
        <v>470.42253521126759</v>
      </c>
      <c r="Q218" s="122">
        <f>N218*P218/1000</f>
        <v>184.32566197183095</v>
      </c>
      <c r="R218" s="122">
        <f>K218*P218/1000</f>
        <v>56.055549295774647</v>
      </c>
      <c r="S218" s="122"/>
      <c r="T218" s="122">
        <f>$AJ218*1000*$AN218*0.01*$N218*0.001</f>
        <v>184.32566197183098</v>
      </c>
      <c r="U218" s="122">
        <f>$AJ218*1000*$AN218*0.01*$K218*0.001</f>
        <v>56.055549295774647</v>
      </c>
      <c r="V218" s="123"/>
      <c r="W218" s="122"/>
      <c r="X218" s="122"/>
      <c r="Y218" s="122"/>
      <c r="Z218" s="122"/>
      <c r="AG218" s="124">
        <v>1.42</v>
      </c>
      <c r="AH218" s="1">
        <v>40</v>
      </c>
      <c r="AI218" s="1"/>
      <c r="AJ218" s="124">
        <f t="shared" si="8"/>
        <v>28.169014084507044</v>
      </c>
      <c r="AK218" s="1" t="s">
        <v>5</v>
      </c>
      <c r="AL218" s="122"/>
      <c r="AM218" s="122"/>
      <c r="AN218" s="122">
        <v>1.67</v>
      </c>
      <c r="AO218" s="122">
        <v>30.985915492957748</v>
      </c>
      <c r="AP218" s="122">
        <v>18.591549295774652</v>
      </c>
      <c r="AQ218" s="122">
        <v>56.338028169014088</v>
      </c>
      <c r="AR218" s="122">
        <v>2.8169014084507045</v>
      </c>
    </row>
    <row r="219" spans="1:44">
      <c r="A219" s="75">
        <v>218</v>
      </c>
      <c r="B219" s="113">
        <v>2009</v>
      </c>
      <c r="C219" s="117" t="s">
        <v>138</v>
      </c>
      <c r="D219" s="9" t="s">
        <v>108</v>
      </c>
      <c r="E219" s="9" t="s">
        <v>25</v>
      </c>
      <c r="F219" s="9" t="s">
        <v>35</v>
      </c>
      <c r="G219" s="9" t="s">
        <v>45</v>
      </c>
      <c r="H219" s="17">
        <v>39995</v>
      </c>
      <c r="I219" s="17">
        <v>39998</v>
      </c>
      <c r="J219" s="18">
        <v>3</v>
      </c>
      <c r="K219" s="122"/>
      <c r="L219" s="122"/>
      <c r="M219" s="122"/>
      <c r="N219" s="122"/>
      <c r="O219" s="122"/>
      <c r="P219" s="122"/>
      <c r="Q219" s="122"/>
      <c r="R219" s="122"/>
      <c r="S219" s="122">
        <f>AJ219*AM219*AN219*0.01</f>
        <v>2888.8732394366198</v>
      </c>
      <c r="T219" s="122">
        <f>S219*0.4089</f>
        <v>1181.2602676056338</v>
      </c>
      <c r="U219" s="122">
        <f>S219*0.0263</f>
        <v>75.977366197183102</v>
      </c>
      <c r="V219" s="123"/>
      <c r="W219" s="122"/>
      <c r="X219" s="122"/>
      <c r="Y219" s="122"/>
      <c r="Z219" s="122"/>
      <c r="AG219" s="124">
        <v>1.42</v>
      </c>
      <c r="AH219" s="1">
        <v>180</v>
      </c>
      <c r="AI219" s="1"/>
      <c r="AJ219" s="124">
        <f t="shared" si="8"/>
        <v>126.7605633802817</v>
      </c>
      <c r="AK219" s="1" t="s">
        <v>71</v>
      </c>
      <c r="AL219" s="122"/>
      <c r="AM219" s="122">
        <v>26.5</v>
      </c>
      <c r="AN219" s="122">
        <v>86</v>
      </c>
      <c r="AO219" s="122"/>
      <c r="AP219" s="122"/>
      <c r="AQ219" s="122"/>
      <c r="AR219" s="122"/>
    </row>
    <row r="220" spans="1:44">
      <c r="A220" s="75">
        <v>219</v>
      </c>
      <c r="B220" s="113">
        <v>2009</v>
      </c>
      <c r="C220" s="117" t="s">
        <v>138</v>
      </c>
      <c r="D220" s="9" t="s">
        <v>108</v>
      </c>
      <c r="E220" s="9" t="s">
        <v>17</v>
      </c>
      <c r="F220" s="9" t="s">
        <v>37</v>
      </c>
      <c r="G220" s="9" t="s">
        <v>48</v>
      </c>
      <c r="H220" s="17">
        <v>40002</v>
      </c>
      <c r="I220" s="17"/>
      <c r="J220" s="18"/>
      <c r="K220" s="122">
        <v>82.05</v>
      </c>
      <c r="L220" s="122">
        <v>47.44</v>
      </c>
      <c r="M220" s="122" t="s">
        <v>62</v>
      </c>
      <c r="N220" s="122">
        <v>393.57</v>
      </c>
      <c r="O220" s="122">
        <v>4.8</v>
      </c>
      <c r="P220" s="122">
        <f>AJ220*1000*AN220/100</f>
        <v>549.29577464788747</v>
      </c>
      <c r="Q220" s="122">
        <f>N220*P220/1000</f>
        <v>216.18633802816908</v>
      </c>
      <c r="R220" s="122">
        <f>K220*P220/1000</f>
        <v>45.069718309859162</v>
      </c>
      <c r="S220" s="122"/>
      <c r="T220" s="122">
        <f>$AJ220*1000*$AN220*0.01*$N220*0.001</f>
        <v>216.18633802816908</v>
      </c>
      <c r="U220" s="122">
        <f>$AJ220*1000*$AN220*0.01*$K220*0.001</f>
        <v>45.069718309859162</v>
      </c>
      <c r="V220" s="123"/>
      <c r="W220" s="122"/>
      <c r="X220" s="122"/>
      <c r="Y220" s="122"/>
      <c r="Z220" s="122"/>
      <c r="AG220" s="124">
        <v>1.42</v>
      </c>
      <c r="AH220" s="1">
        <v>50</v>
      </c>
      <c r="AI220" s="1"/>
      <c r="AJ220" s="124">
        <f t="shared" si="8"/>
        <v>35.211267605633807</v>
      </c>
      <c r="AK220" s="1" t="s">
        <v>5</v>
      </c>
      <c r="AL220" s="122"/>
      <c r="AM220" s="122"/>
      <c r="AN220" s="122">
        <v>1.56</v>
      </c>
      <c r="AO220" s="122">
        <v>24.647887323943664</v>
      </c>
      <c r="AP220" s="122">
        <v>21.126760563380284</v>
      </c>
      <c r="AQ220" s="122">
        <v>91.549295774647888</v>
      </c>
      <c r="AR220" s="122">
        <v>3.5211267605633805</v>
      </c>
    </row>
    <row r="221" spans="1:44">
      <c r="A221" s="75">
        <v>220</v>
      </c>
      <c r="B221" s="113">
        <v>2009</v>
      </c>
      <c r="C221" s="117" t="s">
        <v>138</v>
      </c>
      <c r="D221" s="9" t="s">
        <v>108</v>
      </c>
      <c r="E221" s="9" t="s">
        <v>25</v>
      </c>
      <c r="F221" s="9" t="s">
        <v>35</v>
      </c>
      <c r="G221" s="9" t="s">
        <v>45</v>
      </c>
      <c r="H221" s="17">
        <v>40030</v>
      </c>
      <c r="I221" s="17">
        <v>40032</v>
      </c>
      <c r="J221" s="18">
        <v>4</v>
      </c>
      <c r="K221" s="122"/>
      <c r="L221" s="122"/>
      <c r="M221" s="122"/>
      <c r="N221" s="122"/>
      <c r="O221" s="122"/>
      <c r="P221" s="122"/>
      <c r="Q221" s="122"/>
      <c r="R221" s="122"/>
      <c r="S221" s="122">
        <f>AJ221*AM221*AN221*0.01</f>
        <v>3466.6478873239439</v>
      </c>
      <c r="T221" s="122">
        <f>S221*0.4089</f>
        <v>1417.5123211267605</v>
      </c>
      <c r="U221" s="122">
        <f>S221*0.0263</f>
        <v>91.172839436619725</v>
      </c>
      <c r="V221" s="123"/>
      <c r="W221" s="122"/>
      <c r="X221" s="122"/>
      <c r="Y221" s="122"/>
      <c r="Z221" s="122"/>
      <c r="AG221" s="124">
        <v>1.42</v>
      </c>
      <c r="AH221" s="1">
        <v>216</v>
      </c>
      <c r="AI221" s="1"/>
      <c r="AJ221" s="124">
        <f t="shared" si="8"/>
        <v>152.11267605633805</v>
      </c>
      <c r="AK221" s="1" t="s">
        <v>71</v>
      </c>
      <c r="AL221" s="122"/>
      <c r="AM221" s="122">
        <v>26.5</v>
      </c>
      <c r="AN221" s="122">
        <v>86</v>
      </c>
      <c r="AO221" s="122"/>
      <c r="AP221" s="122"/>
      <c r="AQ221" s="122"/>
      <c r="AR221" s="122"/>
    </row>
    <row r="222" spans="1:44">
      <c r="A222" s="75">
        <v>221</v>
      </c>
      <c r="B222" s="113">
        <v>2009</v>
      </c>
      <c r="C222" s="117" t="s">
        <v>138</v>
      </c>
      <c r="D222" s="9" t="s">
        <v>108</v>
      </c>
      <c r="E222" s="9" t="s">
        <v>17</v>
      </c>
      <c r="F222" s="9" t="s">
        <v>37</v>
      </c>
      <c r="G222" s="9" t="s">
        <v>48</v>
      </c>
      <c r="H222" s="17">
        <v>40037</v>
      </c>
      <c r="I222" s="17"/>
      <c r="J222" s="18"/>
      <c r="K222" s="122">
        <v>57.79</v>
      </c>
      <c r="L222" s="122">
        <v>29.22</v>
      </c>
      <c r="M222" s="1">
        <v>1.3</v>
      </c>
      <c r="N222" s="122">
        <v>412.35</v>
      </c>
      <c r="O222" s="122">
        <v>7.14</v>
      </c>
      <c r="P222" s="122">
        <f>AJ222*1000*AN222/100</f>
        <v>347.04225352112678</v>
      </c>
      <c r="Q222" s="122">
        <f>N222*P222/1000</f>
        <v>143.10287323943663</v>
      </c>
      <c r="R222" s="122">
        <f>K222*P222/1000</f>
        <v>20.055571830985915</v>
      </c>
      <c r="S222" s="122"/>
      <c r="T222" s="122">
        <f>$AJ222*1000*$AN222*0.01*$N222*0.001</f>
        <v>143.10287323943663</v>
      </c>
      <c r="U222" s="122">
        <f>$AJ222*1000*$AN222*0.01*$K222*0.001</f>
        <v>20.055571830985915</v>
      </c>
      <c r="V222" s="123"/>
      <c r="W222" s="122"/>
      <c r="X222" s="122"/>
      <c r="Y222" s="122"/>
      <c r="Z222" s="122"/>
      <c r="AG222" s="124">
        <v>1.42</v>
      </c>
      <c r="AH222" s="1">
        <v>32</v>
      </c>
      <c r="AI222" s="1"/>
      <c r="AJ222" s="124">
        <f t="shared" ref="AJ222:AJ228" si="9">IF(AH222/AG222&gt;0, AH222/AG222,"")</f>
        <v>22.535211267605636</v>
      </c>
      <c r="AK222" s="1" t="s">
        <v>5</v>
      </c>
      <c r="AL222" s="122"/>
      <c r="AM222" s="122"/>
      <c r="AN222" s="122">
        <v>1.54</v>
      </c>
      <c r="AO222" s="122">
        <v>15.774647887323944</v>
      </c>
      <c r="AP222" s="122">
        <v>13.52112676056338</v>
      </c>
      <c r="AQ222" s="122">
        <v>58.591549295774655</v>
      </c>
      <c r="AR222" s="122">
        <v>2.2535211267605635</v>
      </c>
    </row>
    <row r="223" spans="1:44">
      <c r="A223" s="75">
        <v>222</v>
      </c>
      <c r="B223" s="113">
        <v>2009</v>
      </c>
      <c r="C223" s="117" t="s">
        <v>138</v>
      </c>
      <c r="D223" s="9" t="s">
        <v>108</v>
      </c>
      <c r="E223" s="9" t="s">
        <v>25</v>
      </c>
      <c r="F223" s="9" t="s">
        <v>35</v>
      </c>
      <c r="G223" s="33" t="s">
        <v>43</v>
      </c>
      <c r="H223" s="17">
        <v>40055</v>
      </c>
      <c r="I223" s="17">
        <v>40057</v>
      </c>
      <c r="J223" s="18">
        <v>5</v>
      </c>
      <c r="K223" s="122"/>
      <c r="L223" s="122"/>
      <c r="M223" s="122"/>
      <c r="N223" s="122"/>
      <c r="O223" s="122"/>
      <c r="P223" s="122"/>
      <c r="Q223" s="122"/>
      <c r="R223" s="122"/>
      <c r="S223" s="122">
        <f>AJ223*AM223*AN223*0.01</f>
        <v>1848.5915492957747</v>
      </c>
      <c r="T223" s="122">
        <f>S223*0.4089</f>
        <v>755.8890845070423</v>
      </c>
      <c r="U223" s="122">
        <f>S223*0.0263</f>
        <v>48.617957746478879</v>
      </c>
      <c r="V223" s="123"/>
      <c r="W223" s="122"/>
      <c r="X223" s="122"/>
      <c r="Y223" s="122"/>
      <c r="Z223" s="122"/>
      <c r="AG223" s="124">
        <v>1.42</v>
      </c>
      <c r="AH223" s="1">
        <v>2.5</v>
      </c>
      <c r="AI223" s="1"/>
      <c r="AJ223" s="124">
        <f t="shared" si="9"/>
        <v>1.7605633802816902</v>
      </c>
      <c r="AK223" s="1" t="s">
        <v>67</v>
      </c>
      <c r="AL223" s="122"/>
      <c r="AM223" s="122">
        <v>1500</v>
      </c>
      <c r="AN223" s="122">
        <v>70</v>
      </c>
      <c r="AO223" s="122"/>
      <c r="AP223" s="122"/>
      <c r="AQ223" s="122"/>
      <c r="AR223" s="122"/>
    </row>
    <row r="224" spans="1:44">
      <c r="A224" s="75">
        <v>223</v>
      </c>
      <c r="B224" s="113">
        <v>2009</v>
      </c>
      <c r="C224" s="117" t="s">
        <v>138</v>
      </c>
      <c r="D224" s="9" t="s">
        <v>108</v>
      </c>
      <c r="E224" s="9" t="s">
        <v>17</v>
      </c>
      <c r="F224" s="9" t="s">
        <v>37</v>
      </c>
      <c r="G224" s="9" t="s">
        <v>48</v>
      </c>
      <c r="H224" s="17">
        <v>40060</v>
      </c>
      <c r="I224" s="17"/>
      <c r="J224" s="18"/>
      <c r="K224" s="122">
        <v>87.06</v>
      </c>
      <c r="L224" s="122">
        <v>51.76</v>
      </c>
      <c r="M224" s="122" t="s">
        <v>62</v>
      </c>
      <c r="N224" s="122">
        <v>327.13</v>
      </c>
      <c r="O224" s="122">
        <v>3.76</v>
      </c>
      <c r="P224" s="122">
        <f>AJ224*1000*AN224/100</f>
        <v>502.81690140845075</v>
      </c>
      <c r="Q224" s="122">
        <f>N224*P224/1000</f>
        <v>164.48649295774649</v>
      </c>
      <c r="R224" s="122">
        <f>K224*P224/1000</f>
        <v>43.775239436619728</v>
      </c>
      <c r="S224" s="122"/>
      <c r="T224" s="122">
        <f>$AJ224*1000*$AN224*0.01*$N224*0.001</f>
        <v>164.48649295774649</v>
      </c>
      <c r="U224" s="122">
        <f>$AJ224*1000*$AN224*0.01*$K224*0.001</f>
        <v>43.775239436619728</v>
      </c>
      <c r="V224" s="123"/>
      <c r="W224" s="122"/>
      <c r="X224" s="122"/>
      <c r="Y224" s="122"/>
      <c r="Z224" s="122"/>
      <c r="AG224" s="124">
        <v>1.42</v>
      </c>
      <c r="AH224" s="1">
        <v>84</v>
      </c>
      <c r="AI224" s="1"/>
      <c r="AJ224" s="124">
        <f t="shared" si="9"/>
        <v>59.154929577464792</v>
      </c>
      <c r="AK224" s="1" t="s">
        <v>5</v>
      </c>
      <c r="AL224" s="122"/>
      <c r="AM224" s="122"/>
      <c r="AN224" s="122">
        <v>0.85</v>
      </c>
      <c r="AO224" s="122">
        <v>65.070422535211279</v>
      </c>
      <c r="AP224" s="122">
        <v>39.042253521126767</v>
      </c>
      <c r="AQ224" s="122">
        <v>118.30985915492958</v>
      </c>
      <c r="AR224" s="122">
        <v>5.915492957746479</v>
      </c>
    </row>
    <row r="225" spans="1:44">
      <c r="A225" s="75">
        <v>224</v>
      </c>
      <c r="B225" s="113">
        <v>2009</v>
      </c>
      <c r="C225" s="117" t="s">
        <v>138</v>
      </c>
      <c r="D225" s="9" t="s">
        <v>108</v>
      </c>
      <c r="E225" s="9" t="s">
        <v>25</v>
      </c>
      <c r="F225" s="9" t="s">
        <v>29</v>
      </c>
      <c r="G225" s="9" t="s">
        <v>47</v>
      </c>
      <c r="H225" s="17">
        <v>40099</v>
      </c>
      <c r="I225" s="17">
        <v>40102</v>
      </c>
      <c r="J225" s="18">
        <v>6</v>
      </c>
      <c r="K225" s="122"/>
      <c r="L225" s="122"/>
      <c r="M225" s="122"/>
      <c r="N225" s="122"/>
      <c r="O225" s="122"/>
      <c r="P225" s="122"/>
      <c r="Q225" s="122"/>
      <c r="R225" s="122"/>
      <c r="S225" s="122">
        <f>AJ225*AM225*AL225</f>
        <v>316.90140845070425</v>
      </c>
      <c r="T225" s="122">
        <f>$S225*0.4089</f>
        <v>129.58098591549296</v>
      </c>
      <c r="U225" s="122">
        <f>$S225*0.0263</f>
        <v>8.3345070422535219</v>
      </c>
      <c r="V225" s="123"/>
      <c r="W225" s="122"/>
      <c r="X225" s="122"/>
      <c r="Y225" s="122"/>
      <c r="Z225" s="122"/>
      <c r="AG225" s="124">
        <v>1.42</v>
      </c>
      <c r="AH225" s="124">
        <v>100</v>
      </c>
      <c r="AI225" s="124"/>
      <c r="AJ225" s="124">
        <f t="shared" si="9"/>
        <v>70.422535211267615</v>
      </c>
      <c r="AK225" s="1" t="s">
        <v>66</v>
      </c>
      <c r="AL225" s="122">
        <v>3</v>
      </c>
      <c r="AM225" s="122">
        <v>1.5</v>
      </c>
      <c r="AN225" s="122"/>
      <c r="AO225" s="122"/>
      <c r="AP225" s="122"/>
      <c r="AQ225" s="122"/>
      <c r="AR225" s="122"/>
    </row>
    <row r="226" spans="1:44">
      <c r="A226" s="75">
        <v>225</v>
      </c>
      <c r="B226" s="113">
        <v>2009</v>
      </c>
      <c r="C226" s="117" t="s">
        <v>138</v>
      </c>
      <c r="D226" s="9" t="s">
        <v>108</v>
      </c>
      <c r="E226" s="9" t="s">
        <v>25</v>
      </c>
      <c r="F226" s="9" t="s">
        <v>35</v>
      </c>
      <c r="G226" s="34" t="s">
        <v>36</v>
      </c>
      <c r="H226" s="17">
        <v>40106</v>
      </c>
      <c r="I226" s="17">
        <v>40107</v>
      </c>
      <c r="J226" s="18">
        <v>6</v>
      </c>
      <c r="K226" s="122"/>
      <c r="L226" s="122"/>
      <c r="M226" s="122"/>
      <c r="N226" s="122"/>
      <c r="O226" s="122"/>
      <c r="P226" s="122"/>
      <c r="Q226" s="122"/>
      <c r="R226" s="122"/>
      <c r="S226" s="122">
        <f>AJ226*AM226*AN226*0.01</f>
        <v>640.98591549295782</v>
      </c>
      <c r="T226" s="122">
        <f>S226*0.4089</f>
        <v>262.09914084507045</v>
      </c>
      <c r="U226" s="122">
        <f>S226*0.0263</f>
        <v>16.857929577464791</v>
      </c>
      <c r="V226" s="123"/>
      <c r="W226" s="122"/>
      <c r="X226" s="122"/>
      <c r="Y226" s="122"/>
      <c r="Z226" s="122"/>
      <c r="AG226" s="124">
        <v>1.42</v>
      </c>
      <c r="AH226" s="1">
        <v>4</v>
      </c>
      <c r="AI226" s="1"/>
      <c r="AJ226" s="124">
        <f t="shared" si="9"/>
        <v>2.8169014084507045</v>
      </c>
      <c r="AK226" s="137" t="s">
        <v>70</v>
      </c>
      <c r="AL226" s="122"/>
      <c r="AM226" s="122">
        <v>615</v>
      </c>
      <c r="AN226" s="122">
        <v>37</v>
      </c>
      <c r="AO226" s="122"/>
      <c r="AP226" s="122"/>
      <c r="AQ226" s="122"/>
      <c r="AR226" s="122"/>
    </row>
    <row r="227" spans="1:44">
      <c r="A227" s="75">
        <v>226</v>
      </c>
      <c r="B227" s="113">
        <v>2009</v>
      </c>
      <c r="C227" s="117" t="s">
        <v>138</v>
      </c>
      <c r="D227" s="9" t="s">
        <v>108</v>
      </c>
      <c r="E227" s="9" t="s">
        <v>17</v>
      </c>
      <c r="F227" s="9" t="s">
        <v>37</v>
      </c>
      <c r="G227" s="9" t="s">
        <v>48</v>
      </c>
      <c r="H227" s="17">
        <v>40112</v>
      </c>
      <c r="I227" s="17"/>
      <c r="J227" s="18"/>
      <c r="K227" s="122">
        <v>48.51</v>
      </c>
      <c r="L227" s="122">
        <v>18.66</v>
      </c>
      <c r="M227" s="1">
        <v>1</v>
      </c>
      <c r="N227" s="122">
        <v>465.28</v>
      </c>
      <c r="O227" s="122">
        <v>9.59</v>
      </c>
      <c r="P227" s="122">
        <f>AJ227*1000*AN227/100</f>
        <v>1698.5915492957747</v>
      </c>
      <c r="Q227" s="122">
        <f>N227*P227/1000</f>
        <v>790.32067605633802</v>
      </c>
      <c r="R227" s="122">
        <f>K227*P227/1000</f>
        <v>82.398676056338019</v>
      </c>
      <c r="S227" s="122"/>
      <c r="T227" s="122">
        <f>$AJ227*1000*$AN227*0.01*$N227*0.001</f>
        <v>790.32067605633802</v>
      </c>
      <c r="U227" s="122">
        <f>$AJ227*1000*$AN227*0.01*$K227*0.001</f>
        <v>82.398676056338019</v>
      </c>
      <c r="V227" s="123"/>
      <c r="W227" s="122"/>
      <c r="X227" s="122"/>
      <c r="Y227" s="122"/>
      <c r="Z227" s="122"/>
      <c r="AG227" s="124">
        <v>1.42</v>
      </c>
      <c r="AH227" s="1">
        <v>60</v>
      </c>
      <c r="AI227" s="1"/>
      <c r="AJ227" s="124">
        <f t="shared" si="9"/>
        <v>42.253521126760567</v>
      </c>
      <c r="AK227" s="1" t="s">
        <v>5</v>
      </c>
      <c r="AL227" s="122"/>
      <c r="AM227" s="122"/>
      <c r="AN227" s="122">
        <v>4.0199999999999996</v>
      </c>
      <c r="AO227" s="122">
        <v>29.577464788732396</v>
      </c>
      <c r="AP227" s="122">
        <v>25.35211267605634</v>
      </c>
      <c r="AQ227" s="122">
        <v>109.85915492957747</v>
      </c>
      <c r="AR227" s="122">
        <v>4.2253521126760569</v>
      </c>
    </row>
    <row r="228" spans="1:44">
      <c r="A228" s="75">
        <v>227</v>
      </c>
      <c r="B228" s="113">
        <v>2009</v>
      </c>
      <c r="C228" s="118" t="s">
        <v>139</v>
      </c>
      <c r="D228" s="9" t="s">
        <v>108</v>
      </c>
      <c r="E228" s="9" t="s">
        <v>17</v>
      </c>
      <c r="F228" s="9" t="s">
        <v>37</v>
      </c>
      <c r="G228" s="9" t="s">
        <v>48</v>
      </c>
      <c r="H228" s="17">
        <v>39870</v>
      </c>
      <c r="I228" s="17"/>
      <c r="J228" s="18"/>
      <c r="K228" s="122">
        <v>52.25</v>
      </c>
      <c r="L228" s="122">
        <v>27.93</v>
      </c>
      <c r="M228" s="122" t="s">
        <v>62</v>
      </c>
      <c r="N228" s="122">
        <v>387.71</v>
      </c>
      <c r="O228" s="122">
        <v>7.42</v>
      </c>
      <c r="P228" s="122">
        <f>AJ228*1000*AN228/100</f>
        <v>1021.4723926380371</v>
      </c>
      <c r="Q228" s="122">
        <f>N228*P228/1000</f>
        <v>396.03506134969336</v>
      </c>
      <c r="R228" s="122">
        <f>K228*P228/1000</f>
        <v>53.371932515337434</v>
      </c>
      <c r="S228" s="122"/>
      <c r="T228" s="122">
        <f>$AJ228*1000*$AN228*0.01*$N228*0.001</f>
        <v>396.03506134969336</v>
      </c>
      <c r="U228" s="122">
        <f>$AJ228*1000*$AN228*0.01*$K228*0.001</f>
        <v>53.371932515337441</v>
      </c>
      <c r="V228" s="123"/>
      <c r="W228" s="122"/>
      <c r="X228" s="122"/>
      <c r="Y228" s="122"/>
      <c r="Z228" s="122"/>
      <c r="AG228" s="124">
        <v>3.26</v>
      </c>
      <c r="AH228" s="1">
        <v>150</v>
      </c>
      <c r="AI228" s="1"/>
      <c r="AJ228" s="124">
        <f t="shared" si="9"/>
        <v>46.012269938650313</v>
      </c>
      <c r="AK228" s="1" t="s">
        <v>5</v>
      </c>
      <c r="AL228" s="122"/>
      <c r="AM228" s="122"/>
      <c r="AN228" s="122">
        <v>2.2200000000000002</v>
      </c>
      <c r="AO228" s="122">
        <v>51</v>
      </c>
      <c r="AP228" s="122">
        <v>30</v>
      </c>
      <c r="AQ228" s="122">
        <v>92</v>
      </c>
      <c r="AR228" s="122">
        <v>5</v>
      </c>
    </row>
    <row r="229" spans="1:44">
      <c r="A229" s="75">
        <v>228</v>
      </c>
      <c r="B229" s="113">
        <v>2009</v>
      </c>
      <c r="C229" s="118" t="s">
        <v>139</v>
      </c>
      <c r="D229" s="9" t="s">
        <v>108</v>
      </c>
      <c r="E229" s="9" t="s">
        <v>26</v>
      </c>
      <c r="F229" s="9" t="s">
        <v>30</v>
      </c>
      <c r="G229" s="4" t="s">
        <v>127</v>
      </c>
      <c r="H229" s="17">
        <v>39892</v>
      </c>
      <c r="I229" s="17"/>
      <c r="J229" s="18"/>
      <c r="K229" s="122"/>
      <c r="L229" s="122"/>
      <c r="M229" s="122"/>
      <c r="N229" s="122"/>
      <c r="O229" s="122"/>
      <c r="P229" s="122"/>
      <c r="Q229" s="122"/>
      <c r="R229" s="122"/>
      <c r="S229" s="122"/>
      <c r="T229" s="122"/>
      <c r="U229" s="122"/>
      <c r="V229" s="123"/>
      <c r="W229" s="122"/>
      <c r="X229" s="122"/>
      <c r="Y229" s="122"/>
      <c r="Z229" s="122"/>
      <c r="AG229" s="124">
        <v>3.26</v>
      </c>
      <c r="AH229" s="122"/>
      <c r="AI229" s="122"/>
      <c r="AJ229" s="122"/>
      <c r="AL229" s="122"/>
      <c r="AM229" s="122"/>
      <c r="AN229" s="122"/>
      <c r="AO229" s="122"/>
      <c r="AP229" s="122"/>
      <c r="AQ229" s="122"/>
      <c r="AR229" s="122"/>
    </row>
    <row r="230" spans="1:44">
      <c r="A230" s="75">
        <v>229</v>
      </c>
      <c r="B230" s="113">
        <v>2009</v>
      </c>
      <c r="C230" s="118" t="s">
        <v>139</v>
      </c>
      <c r="D230" s="9" t="s">
        <v>108</v>
      </c>
      <c r="E230" s="9" t="s">
        <v>23</v>
      </c>
      <c r="F230" s="9" t="s">
        <v>38</v>
      </c>
      <c r="G230" s="9" t="s">
        <v>50</v>
      </c>
      <c r="H230" s="17">
        <v>39893</v>
      </c>
      <c r="I230" s="17"/>
      <c r="J230" s="18"/>
      <c r="K230" s="122"/>
      <c r="L230" s="122"/>
      <c r="M230" s="122"/>
      <c r="N230" s="122"/>
      <c r="O230" s="122"/>
      <c r="P230" s="122"/>
      <c r="Q230" s="122"/>
      <c r="R230" s="122"/>
      <c r="S230" s="122"/>
      <c r="T230" s="122"/>
      <c r="U230" s="122"/>
      <c r="V230" s="123"/>
      <c r="W230" s="122"/>
      <c r="X230" s="122"/>
      <c r="Y230" s="122"/>
      <c r="Z230" s="122"/>
      <c r="AG230" s="124">
        <v>3.26</v>
      </c>
      <c r="AH230" s="1">
        <v>40</v>
      </c>
      <c r="AI230" s="1"/>
      <c r="AJ230" s="124">
        <f t="shared" ref="AJ230:AJ273" si="10">IF(AH230/AG230&gt;0, AH230/AG230,"")</f>
        <v>12.269938650306749</v>
      </c>
      <c r="AK230" s="1" t="s">
        <v>3</v>
      </c>
      <c r="AL230" s="122"/>
      <c r="AM230" s="122"/>
      <c r="AN230" s="122"/>
      <c r="AO230" s="122"/>
      <c r="AP230" s="122"/>
      <c r="AQ230" s="122"/>
      <c r="AR230" s="122"/>
    </row>
    <row r="231" spans="1:44">
      <c r="A231" s="75">
        <v>230</v>
      </c>
      <c r="B231" s="113">
        <v>2009</v>
      </c>
      <c r="C231" s="118" t="s">
        <v>139</v>
      </c>
      <c r="D231" s="9" t="s">
        <v>108</v>
      </c>
      <c r="E231" s="9" t="s">
        <v>25</v>
      </c>
      <c r="F231" s="9" t="s">
        <v>29</v>
      </c>
      <c r="G231" s="9" t="s">
        <v>47</v>
      </c>
      <c r="H231" s="17">
        <v>39927</v>
      </c>
      <c r="I231" s="17">
        <v>39952</v>
      </c>
      <c r="J231" s="18">
        <v>1</v>
      </c>
      <c r="K231" s="122"/>
      <c r="L231" s="122"/>
      <c r="M231" s="122"/>
      <c r="N231" s="122"/>
      <c r="O231" s="122"/>
      <c r="P231" s="122"/>
      <c r="Q231" s="122"/>
      <c r="R231" s="122"/>
      <c r="S231" s="122">
        <f>AJ231*AM231*AL231</f>
        <v>621.16564417177926</v>
      </c>
      <c r="T231" s="122">
        <f>$S231*0.4089</f>
        <v>253.99463190184053</v>
      </c>
      <c r="U231" s="122">
        <f>$S231*0.0263</f>
        <v>16.336656441717796</v>
      </c>
      <c r="V231" s="123"/>
      <c r="W231" s="122"/>
      <c r="X231" s="122"/>
      <c r="Y231" s="122"/>
      <c r="Z231" s="122"/>
      <c r="AG231" s="124">
        <v>3.26</v>
      </c>
      <c r="AH231" s="124">
        <v>54</v>
      </c>
      <c r="AI231" s="124"/>
      <c r="AJ231" s="124">
        <f t="shared" si="10"/>
        <v>16.564417177914113</v>
      </c>
      <c r="AK231" s="1" t="s">
        <v>66</v>
      </c>
      <c r="AL231" s="122">
        <v>25</v>
      </c>
      <c r="AM231" s="122">
        <v>1.5</v>
      </c>
      <c r="AN231" s="122"/>
      <c r="AO231" s="122"/>
      <c r="AP231" s="122"/>
      <c r="AQ231" s="122"/>
      <c r="AR231" s="122"/>
    </row>
    <row r="232" spans="1:44">
      <c r="A232" s="75">
        <v>231</v>
      </c>
      <c r="B232" s="113">
        <v>2009</v>
      </c>
      <c r="C232" s="118" t="s">
        <v>139</v>
      </c>
      <c r="D232" s="9" t="s">
        <v>108</v>
      </c>
      <c r="E232" s="9" t="s">
        <v>25</v>
      </c>
      <c r="F232" s="9" t="s">
        <v>35</v>
      </c>
      <c r="G232" s="9" t="s">
        <v>36</v>
      </c>
      <c r="H232" s="17">
        <v>39952</v>
      </c>
      <c r="I232" s="17">
        <v>39953</v>
      </c>
      <c r="J232" s="18">
        <v>1</v>
      </c>
      <c r="K232" s="122"/>
      <c r="L232" s="122"/>
      <c r="M232" s="122"/>
      <c r="N232" s="122"/>
      <c r="O232" s="122"/>
      <c r="P232" s="122"/>
      <c r="Q232" s="122"/>
      <c r="R232" s="122"/>
      <c r="S232" s="122">
        <f>AJ232*AM232*AN232*0.01</f>
        <v>3404.9079754601225</v>
      </c>
      <c r="T232" s="122">
        <f>S232*0.4089</f>
        <v>1392.266871165644</v>
      </c>
      <c r="U232" s="122">
        <f>S232*0.0263</f>
        <v>89.549079754601223</v>
      </c>
      <c r="V232" s="123"/>
      <c r="W232" s="122"/>
      <c r="X232" s="122"/>
      <c r="Y232" s="122"/>
      <c r="Z232" s="122"/>
      <c r="AG232" s="124">
        <v>3.26</v>
      </c>
      <c r="AH232" s="1">
        <v>10</v>
      </c>
      <c r="AI232" s="1"/>
      <c r="AJ232" s="124">
        <f t="shared" si="10"/>
        <v>3.0674846625766872</v>
      </c>
      <c r="AK232" s="1" t="s">
        <v>67</v>
      </c>
      <c r="AL232" s="122"/>
      <c r="AM232" s="122">
        <v>3000</v>
      </c>
      <c r="AN232" s="122">
        <v>37</v>
      </c>
      <c r="AO232" s="122"/>
      <c r="AP232" s="122"/>
      <c r="AQ232" s="122"/>
      <c r="AR232" s="122"/>
    </row>
    <row r="233" spans="1:44">
      <c r="A233" s="75">
        <v>232</v>
      </c>
      <c r="B233" s="113">
        <v>2009</v>
      </c>
      <c r="C233" s="118" t="s">
        <v>139</v>
      </c>
      <c r="D233" s="9" t="s">
        <v>108</v>
      </c>
      <c r="E233" s="9" t="s">
        <v>17</v>
      </c>
      <c r="F233" s="9" t="s">
        <v>37</v>
      </c>
      <c r="G233" s="9" t="s">
        <v>48</v>
      </c>
      <c r="H233" s="17">
        <v>39960</v>
      </c>
      <c r="I233" s="17"/>
      <c r="J233" s="18"/>
      <c r="K233" s="122">
        <v>128.91999999999999</v>
      </c>
      <c r="L233" s="122">
        <v>42.65</v>
      </c>
      <c r="M233" s="1">
        <v>0.49</v>
      </c>
      <c r="N233" s="122">
        <v>406.43</v>
      </c>
      <c r="O233" s="122">
        <v>3.15</v>
      </c>
      <c r="P233" s="122">
        <f>AJ233*1000*AN233/100</f>
        <v>625.76687116564426</v>
      </c>
      <c r="Q233" s="122">
        <f>N233*P233/1000</f>
        <v>254.33042944785279</v>
      </c>
      <c r="R233" s="122">
        <f>K233*P233/1000</f>
        <v>80.673865030674847</v>
      </c>
      <c r="S233" s="122"/>
      <c r="T233" s="122">
        <f>$AJ233*1000*$AN233*0.01*$N233*0.001</f>
        <v>254.33042944785282</v>
      </c>
      <c r="U233" s="122">
        <f>$AJ233*1000*$AN233*0.01*$K233*0.001</f>
        <v>80.673865030674847</v>
      </c>
      <c r="V233" s="123"/>
      <c r="W233" s="122"/>
      <c r="X233" s="122"/>
      <c r="Y233" s="122"/>
      <c r="Z233" s="122"/>
      <c r="AG233" s="124">
        <v>3.26</v>
      </c>
      <c r="AH233" s="1">
        <v>100</v>
      </c>
      <c r="AI233" s="1"/>
      <c r="AJ233" s="124">
        <f t="shared" si="10"/>
        <v>30.674846625766872</v>
      </c>
      <c r="AK233" s="1" t="s">
        <v>5</v>
      </c>
      <c r="AL233" s="122"/>
      <c r="AM233" s="122"/>
      <c r="AN233" s="122">
        <v>2.04</v>
      </c>
      <c r="AO233" s="122">
        <v>34</v>
      </c>
      <c r="AP233" s="122">
        <v>20</v>
      </c>
      <c r="AQ233" s="122">
        <v>61</v>
      </c>
      <c r="AR233" s="122">
        <v>3</v>
      </c>
    </row>
    <row r="234" spans="1:44">
      <c r="A234" s="75">
        <v>233</v>
      </c>
      <c r="B234" s="113">
        <v>2009</v>
      </c>
      <c r="C234" s="118" t="s">
        <v>139</v>
      </c>
      <c r="D234" s="9" t="s">
        <v>108</v>
      </c>
      <c r="E234" s="9" t="s">
        <v>25</v>
      </c>
      <c r="F234" s="9" t="s">
        <v>35</v>
      </c>
      <c r="G234" s="33" t="s">
        <v>43</v>
      </c>
      <c r="H234" s="17">
        <v>39995</v>
      </c>
      <c r="I234" s="17">
        <v>39996</v>
      </c>
      <c r="J234" s="18">
        <v>2</v>
      </c>
      <c r="K234" s="122"/>
      <c r="L234" s="122"/>
      <c r="M234" s="122"/>
      <c r="N234" s="122"/>
      <c r="O234" s="122"/>
      <c r="P234" s="122"/>
      <c r="Q234" s="122"/>
      <c r="R234" s="122"/>
      <c r="S234" s="122">
        <f>AJ234*AM234*AN234*0.01</f>
        <v>1932.515337423313</v>
      </c>
      <c r="T234" s="122">
        <f>S234*0.4089</f>
        <v>790.20552147239266</v>
      </c>
      <c r="U234" s="122">
        <f>S234*0.0263</f>
        <v>50.825153374233132</v>
      </c>
      <c r="V234" s="123"/>
      <c r="W234" s="122"/>
      <c r="X234" s="122"/>
      <c r="Y234" s="122"/>
      <c r="Z234" s="122"/>
      <c r="AG234" s="124">
        <v>3.26</v>
      </c>
      <c r="AH234" s="1">
        <v>6</v>
      </c>
      <c r="AI234" s="1"/>
      <c r="AJ234" s="124">
        <f t="shared" si="10"/>
        <v>1.8404907975460123</v>
      </c>
      <c r="AK234" s="1" t="s">
        <v>67</v>
      </c>
      <c r="AL234" s="122"/>
      <c r="AM234" s="122">
        <v>1500</v>
      </c>
      <c r="AN234" s="122">
        <v>70</v>
      </c>
      <c r="AO234" s="122"/>
      <c r="AP234" s="122"/>
      <c r="AQ234" s="122"/>
      <c r="AR234" s="122"/>
    </row>
    <row r="235" spans="1:44">
      <c r="A235" s="75">
        <v>234</v>
      </c>
      <c r="B235" s="113">
        <v>2009</v>
      </c>
      <c r="C235" s="118" t="s">
        <v>139</v>
      </c>
      <c r="D235" s="9" t="s">
        <v>108</v>
      </c>
      <c r="E235" s="9" t="s">
        <v>17</v>
      </c>
      <c r="F235" s="9" t="s">
        <v>37</v>
      </c>
      <c r="G235" s="34" t="s">
        <v>48</v>
      </c>
      <c r="H235" s="17">
        <v>40002</v>
      </c>
      <c r="I235" s="17"/>
      <c r="J235" s="18"/>
      <c r="K235" s="122">
        <v>81.010000000000005</v>
      </c>
      <c r="L235" s="122">
        <v>43.67</v>
      </c>
      <c r="M235" s="122" t="s">
        <v>62</v>
      </c>
      <c r="N235" s="122">
        <v>403.25</v>
      </c>
      <c r="O235" s="122">
        <v>4.9800000000000004</v>
      </c>
      <c r="P235" s="122">
        <f>AJ235*1000*AN235/100</f>
        <v>387.7300613496933</v>
      </c>
      <c r="Q235" s="122">
        <f>N235*P235/1000</f>
        <v>156.35214723926381</v>
      </c>
      <c r="R235" s="122">
        <f>K235*P235/1000</f>
        <v>31.410012269938655</v>
      </c>
      <c r="S235" s="122"/>
      <c r="T235" s="122">
        <f>$AJ235*1000*$AN235*0.01*$N235*0.001</f>
        <v>156.35214723926381</v>
      </c>
      <c r="U235" s="122">
        <f>$AJ235*1000*$AN235*0.01*$K235*0.001</f>
        <v>31.410012269938655</v>
      </c>
      <c r="V235" s="123"/>
      <c r="W235" s="122"/>
      <c r="X235" s="122"/>
      <c r="Y235" s="122"/>
      <c r="Z235" s="122"/>
      <c r="AG235" s="124">
        <v>3.26</v>
      </c>
      <c r="AH235" s="1">
        <v>80</v>
      </c>
      <c r="AI235" s="1"/>
      <c r="AJ235" s="124">
        <f t="shared" si="10"/>
        <v>24.539877300613497</v>
      </c>
      <c r="AK235" s="1" t="s">
        <v>5</v>
      </c>
      <c r="AL235" s="122"/>
      <c r="AM235" s="122"/>
      <c r="AN235" s="122">
        <v>1.58</v>
      </c>
      <c r="AO235" s="122">
        <v>17</v>
      </c>
      <c r="AP235" s="122">
        <v>15</v>
      </c>
      <c r="AQ235" s="122">
        <v>64</v>
      </c>
      <c r="AR235" s="122">
        <v>2</v>
      </c>
    </row>
    <row r="236" spans="1:44">
      <c r="A236" s="75">
        <v>235</v>
      </c>
      <c r="B236" s="113">
        <v>2009</v>
      </c>
      <c r="C236" s="118" t="s">
        <v>139</v>
      </c>
      <c r="D236" s="9" t="s">
        <v>108</v>
      </c>
      <c r="E236" s="9" t="s">
        <v>25</v>
      </c>
      <c r="F236" s="9" t="s">
        <v>35</v>
      </c>
      <c r="G236" s="1" t="s">
        <v>43</v>
      </c>
      <c r="H236" s="17">
        <v>40030</v>
      </c>
      <c r="I236" s="17">
        <v>40031</v>
      </c>
      <c r="J236" s="18">
        <v>3</v>
      </c>
      <c r="K236" s="122"/>
      <c r="L236" s="122"/>
      <c r="M236" s="122"/>
      <c r="N236" s="122"/>
      <c r="O236" s="122"/>
      <c r="P236" s="122"/>
      <c r="Q236" s="122"/>
      <c r="R236" s="122"/>
      <c r="S236" s="122">
        <f>AJ236*AM236*AN236*0.01</f>
        <v>1288.3435582822087</v>
      </c>
      <c r="T236" s="122">
        <f>S236*0.4089</f>
        <v>526.80368098159511</v>
      </c>
      <c r="U236" s="122">
        <f>S236*0.0263</f>
        <v>33.883435582822088</v>
      </c>
      <c r="V236" s="123"/>
      <c r="W236" s="122"/>
      <c r="X236" s="122"/>
      <c r="Y236" s="122"/>
      <c r="Z236" s="122"/>
      <c r="AG236" s="124">
        <v>3.26</v>
      </c>
      <c r="AH236" s="1">
        <v>4</v>
      </c>
      <c r="AI236" s="1"/>
      <c r="AJ236" s="124">
        <f t="shared" si="10"/>
        <v>1.2269938650306749</v>
      </c>
      <c r="AK236" s="1" t="s">
        <v>67</v>
      </c>
      <c r="AL236" s="122"/>
      <c r="AM236" s="122">
        <v>1500</v>
      </c>
      <c r="AN236" s="122">
        <v>70</v>
      </c>
      <c r="AO236" s="122"/>
      <c r="AP236" s="122"/>
      <c r="AQ236" s="122"/>
      <c r="AR236" s="122"/>
    </row>
    <row r="237" spans="1:44">
      <c r="A237" s="75">
        <v>236</v>
      </c>
      <c r="B237" s="113">
        <v>2009</v>
      </c>
      <c r="C237" s="118" t="s">
        <v>139</v>
      </c>
      <c r="D237" s="9" t="s">
        <v>108</v>
      </c>
      <c r="E237" s="9" t="s">
        <v>17</v>
      </c>
      <c r="F237" s="9" t="s">
        <v>37</v>
      </c>
      <c r="G237" s="9" t="s">
        <v>48</v>
      </c>
      <c r="H237" s="17">
        <v>40037</v>
      </c>
      <c r="I237" s="17"/>
      <c r="J237" s="18"/>
      <c r="K237" s="122">
        <v>59.26</v>
      </c>
      <c r="L237" s="122">
        <v>27.16</v>
      </c>
      <c r="M237" s="122" t="s">
        <v>62</v>
      </c>
      <c r="N237" s="122">
        <v>412.23</v>
      </c>
      <c r="O237" s="122">
        <v>6.96</v>
      </c>
      <c r="P237" s="122">
        <f>AJ237*1000*AN237/100</f>
        <v>397.54601226993873</v>
      </c>
      <c r="Q237" s="122">
        <f>N237*P237/1000</f>
        <v>163.88039263803682</v>
      </c>
      <c r="R237" s="122">
        <f>K237*P237/1000</f>
        <v>23.55857668711657</v>
      </c>
      <c r="S237" s="122"/>
      <c r="T237" s="122">
        <f>$AJ237*1000*$AN237*0.01*$N237*0.001</f>
        <v>163.88039263803685</v>
      </c>
      <c r="U237" s="122">
        <f>$AJ237*1000*$AN237*0.01*$K237*0.001</f>
        <v>23.55857668711657</v>
      </c>
      <c r="V237" s="123"/>
      <c r="W237" s="122"/>
      <c r="X237" s="122"/>
      <c r="Y237" s="122"/>
      <c r="Z237" s="122"/>
      <c r="AG237" s="124">
        <v>3.26</v>
      </c>
      <c r="AH237" s="1">
        <v>80</v>
      </c>
      <c r="AI237" s="1"/>
      <c r="AJ237" s="124">
        <f t="shared" si="10"/>
        <v>24.539877300613497</v>
      </c>
      <c r="AK237" s="1" t="s">
        <v>5</v>
      </c>
      <c r="AL237" s="122"/>
      <c r="AM237" s="122"/>
      <c r="AN237" s="122">
        <v>1.62</v>
      </c>
      <c r="AO237" s="122">
        <v>17</v>
      </c>
      <c r="AP237" s="122">
        <v>15</v>
      </c>
      <c r="AQ237" s="122">
        <v>64</v>
      </c>
      <c r="AR237" s="122">
        <v>2</v>
      </c>
    </row>
    <row r="238" spans="1:44">
      <c r="A238" s="75">
        <v>237</v>
      </c>
      <c r="B238" s="113">
        <v>2009</v>
      </c>
      <c r="C238" s="118" t="s">
        <v>139</v>
      </c>
      <c r="D238" s="9" t="s">
        <v>108</v>
      </c>
      <c r="E238" s="9" t="s">
        <v>25</v>
      </c>
      <c r="F238" s="9" t="s">
        <v>35</v>
      </c>
      <c r="G238" s="9" t="s">
        <v>36</v>
      </c>
      <c r="H238" s="17">
        <v>40055</v>
      </c>
      <c r="I238" s="17">
        <v>40056</v>
      </c>
      <c r="J238" s="18">
        <v>4</v>
      </c>
      <c r="K238" s="122"/>
      <c r="L238" s="122"/>
      <c r="M238" s="122"/>
      <c r="N238" s="122"/>
      <c r="O238" s="122"/>
      <c r="P238" s="122"/>
      <c r="Q238" s="122"/>
      <c r="R238" s="122"/>
      <c r="S238" s="122">
        <f>AJ238*AM238*AN238*0.01</f>
        <v>510.7361963190184</v>
      </c>
      <c r="T238" s="122">
        <f>S238*0.4089</f>
        <v>208.84003067484662</v>
      </c>
      <c r="U238" s="122">
        <f>S238*0.0263</f>
        <v>13.432361963190184</v>
      </c>
      <c r="V238" s="123"/>
      <c r="W238" s="122"/>
      <c r="X238" s="122"/>
      <c r="Y238" s="122"/>
      <c r="Z238" s="122"/>
      <c r="AG238" s="124">
        <v>3.26</v>
      </c>
      <c r="AH238" s="1">
        <v>1.5</v>
      </c>
      <c r="AI238" s="1"/>
      <c r="AJ238" s="124">
        <f t="shared" si="10"/>
        <v>0.46012269938650308</v>
      </c>
      <c r="AK238" s="1" t="s">
        <v>67</v>
      </c>
      <c r="AL238" s="122"/>
      <c r="AM238" s="122">
        <v>3000</v>
      </c>
      <c r="AN238" s="122">
        <v>37</v>
      </c>
      <c r="AO238" s="122"/>
      <c r="AP238" s="122"/>
      <c r="AQ238" s="122"/>
      <c r="AR238" s="122"/>
    </row>
    <row r="239" spans="1:44">
      <c r="A239" s="75">
        <v>238</v>
      </c>
      <c r="B239" s="113">
        <v>2009</v>
      </c>
      <c r="C239" s="118" t="s">
        <v>139</v>
      </c>
      <c r="D239" s="9" t="s">
        <v>108</v>
      </c>
      <c r="E239" s="9" t="s">
        <v>23</v>
      </c>
      <c r="F239" s="9" t="s">
        <v>38</v>
      </c>
      <c r="G239" s="9" t="s">
        <v>51</v>
      </c>
      <c r="H239" s="17">
        <v>40057</v>
      </c>
      <c r="I239" s="17"/>
      <c r="J239" s="18"/>
      <c r="K239" s="122"/>
      <c r="L239" s="122"/>
      <c r="M239" s="122"/>
      <c r="N239" s="122"/>
      <c r="O239" s="122"/>
      <c r="P239" s="122"/>
      <c r="Q239" s="122"/>
      <c r="R239" s="122"/>
      <c r="S239" s="122"/>
      <c r="T239" s="122"/>
      <c r="U239" s="122"/>
      <c r="V239" s="123"/>
      <c r="W239" s="122"/>
      <c r="X239" s="122"/>
      <c r="Y239" s="122"/>
      <c r="Z239" s="122"/>
      <c r="AG239" s="124">
        <v>3.26</v>
      </c>
      <c r="AH239" s="1">
        <v>40</v>
      </c>
      <c r="AI239" s="1"/>
      <c r="AJ239" s="124">
        <f t="shared" si="10"/>
        <v>12.269938650306749</v>
      </c>
      <c r="AK239" s="1" t="s">
        <v>3</v>
      </c>
      <c r="AL239" s="122"/>
      <c r="AM239" s="122"/>
      <c r="AN239" s="122"/>
      <c r="AO239" s="122"/>
      <c r="AP239" s="122"/>
      <c r="AQ239" s="122"/>
      <c r="AR239" s="122"/>
    </row>
    <row r="240" spans="1:44">
      <c r="A240" s="75">
        <v>239</v>
      </c>
      <c r="B240" s="113">
        <v>2009</v>
      </c>
      <c r="C240" s="118" t="s">
        <v>139</v>
      </c>
      <c r="D240" s="9" t="s">
        <v>108</v>
      </c>
      <c r="E240" s="9" t="s">
        <v>25</v>
      </c>
      <c r="F240" s="9" t="s">
        <v>29</v>
      </c>
      <c r="G240" s="9" t="s">
        <v>47</v>
      </c>
      <c r="H240" s="17">
        <v>40097</v>
      </c>
      <c r="I240" s="17">
        <v>40098</v>
      </c>
      <c r="J240" s="18">
        <v>5</v>
      </c>
      <c r="K240" s="122"/>
      <c r="L240" s="122"/>
      <c r="M240" s="122"/>
      <c r="N240" s="122"/>
      <c r="O240" s="122"/>
      <c r="P240" s="122"/>
      <c r="Q240" s="122"/>
      <c r="R240" s="122"/>
      <c r="S240" s="122">
        <f>AJ240*AM240*AL240</f>
        <v>46.012269938650306</v>
      </c>
      <c r="T240" s="122">
        <f>$S240*0.4089</f>
        <v>18.814417177914109</v>
      </c>
      <c r="U240" s="122">
        <f>$S240*0.0263</f>
        <v>1.2101226993865031</v>
      </c>
      <c r="V240" s="123"/>
      <c r="W240" s="122"/>
      <c r="X240" s="122"/>
      <c r="Y240" s="122"/>
      <c r="Z240" s="122"/>
      <c r="AG240" s="124">
        <v>3.26</v>
      </c>
      <c r="AH240" s="124">
        <v>100</v>
      </c>
      <c r="AI240" s="124"/>
      <c r="AJ240" s="124">
        <f t="shared" si="10"/>
        <v>30.674846625766872</v>
      </c>
      <c r="AK240" s="1" t="s">
        <v>66</v>
      </c>
      <c r="AL240" s="122">
        <v>1</v>
      </c>
      <c r="AM240" s="122">
        <v>1.5</v>
      </c>
      <c r="AN240" s="122"/>
      <c r="AO240" s="122"/>
      <c r="AP240" s="122"/>
      <c r="AQ240" s="122"/>
      <c r="AR240" s="122"/>
    </row>
    <row r="241" spans="1:44">
      <c r="A241" s="75">
        <v>240</v>
      </c>
      <c r="B241" s="113">
        <v>2009</v>
      </c>
      <c r="C241" s="118" t="s">
        <v>139</v>
      </c>
      <c r="D241" s="9" t="s">
        <v>108</v>
      </c>
      <c r="E241" s="9" t="s">
        <v>25</v>
      </c>
      <c r="F241" s="9" t="s">
        <v>35</v>
      </c>
      <c r="G241" s="9" t="s">
        <v>36</v>
      </c>
      <c r="H241" s="17">
        <v>40106</v>
      </c>
      <c r="I241" s="17">
        <v>40107</v>
      </c>
      <c r="J241" s="18">
        <v>5</v>
      </c>
      <c r="K241" s="122"/>
      <c r="L241" s="122"/>
      <c r="M241" s="122"/>
      <c r="N241" s="122"/>
      <c r="O241" s="122"/>
      <c r="P241" s="122"/>
      <c r="Q241" s="122"/>
      <c r="R241" s="122"/>
      <c r="S241" s="122">
        <f>AJ241*AM241*AN241*0.01</f>
        <v>558.40490797546011</v>
      </c>
      <c r="T241" s="122">
        <f>S241*0.4089</f>
        <v>228.33176687116563</v>
      </c>
      <c r="U241" s="122">
        <f>S241*0.0263</f>
        <v>14.686049079754602</v>
      </c>
      <c r="V241" s="123"/>
      <c r="W241" s="122"/>
      <c r="X241" s="122"/>
      <c r="Y241" s="122"/>
      <c r="Z241" s="122"/>
      <c r="AG241" s="124">
        <v>3.26</v>
      </c>
      <c r="AH241" s="1">
        <v>8</v>
      </c>
      <c r="AI241" s="1"/>
      <c r="AJ241" s="124">
        <f t="shared" si="10"/>
        <v>2.4539877300613497</v>
      </c>
      <c r="AK241" s="137" t="s">
        <v>70</v>
      </c>
      <c r="AL241" s="122"/>
      <c r="AM241" s="122">
        <v>615</v>
      </c>
      <c r="AN241" s="122">
        <v>37</v>
      </c>
      <c r="AO241" s="122"/>
      <c r="AP241" s="122"/>
      <c r="AQ241" s="122"/>
      <c r="AR241" s="122"/>
    </row>
    <row r="242" spans="1:44">
      <c r="A242" s="75">
        <v>241</v>
      </c>
      <c r="B242" s="112">
        <v>2010</v>
      </c>
      <c r="C242" s="117" t="s">
        <v>138</v>
      </c>
      <c r="D242" s="9" t="s">
        <v>108</v>
      </c>
      <c r="E242" s="9" t="s">
        <v>17</v>
      </c>
      <c r="F242" s="9" t="s">
        <v>37</v>
      </c>
      <c r="G242" s="9" t="s">
        <v>48</v>
      </c>
      <c r="H242" s="17">
        <v>40255</v>
      </c>
      <c r="I242" s="17"/>
      <c r="J242" s="18"/>
      <c r="K242" s="122">
        <v>63.04</v>
      </c>
      <c r="L242" s="122">
        <v>26.09</v>
      </c>
      <c r="M242" s="122" t="s">
        <v>62</v>
      </c>
      <c r="N242" s="122">
        <v>406.55</v>
      </c>
      <c r="O242" s="122">
        <v>6.45</v>
      </c>
      <c r="P242" s="122">
        <f>AJ242*1000*AN242/100</f>
        <v>599.29577464788736</v>
      </c>
      <c r="Q242" s="122">
        <f>N242*P242/1000</f>
        <v>243.64369718309862</v>
      </c>
      <c r="R242" s="122">
        <f>K242*P242/1000</f>
        <v>37.779605633802824</v>
      </c>
      <c r="S242" s="122"/>
      <c r="T242" s="122">
        <f>$AJ242*1000*$AN242*0.01*$N242*0.001</f>
        <v>243.64369718309862</v>
      </c>
      <c r="U242" s="122">
        <f>$AJ242*1000*$AN242*0.01*$K242*0.001</f>
        <v>37.779605633802824</v>
      </c>
      <c r="V242" s="123"/>
      <c r="W242" s="122"/>
      <c r="X242" s="122"/>
      <c r="Y242" s="122"/>
      <c r="Z242" s="122"/>
      <c r="AG242" s="124">
        <v>1.42</v>
      </c>
      <c r="AH242" s="1">
        <v>37</v>
      </c>
      <c r="AI242" s="1"/>
      <c r="AJ242" s="124">
        <f t="shared" si="10"/>
        <v>26.056338028169016</v>
      </c>
      <c r="AK242" s="1" t="s">
        <v>5</v>
      </c>
      <c r="AL242" s="122"/>
      <c r="AM242" s="122"/>
      <c r="AN242" s="122">
        <v>2.2999999999999998</v>
      </c>
      <c r="AO242" s="122">
        <v>28.661971830985919</v>
      </c>
      <c r="AP242" s="122">
        <v>17.197183098591552</v>
      </c>
      <c r="AQ242" s="122">
        <v>52.112676056338032</v>
      </c>
      <c r="AR242" s="122">
        <v>2.6056338028169015</v>
      </c>
    </row>
    <row r="243" spans="1:44">
      <c r="A243" s="75">
        <v>242</v>
      </c>
      <c r="B243" s="112">
        <v>2010</v>
      </c>
      <c r="C243" s="117" t="s">
        <v>138</v>
      </c>
      <c r="D243" s="9" t="s">
        <v>108</v>
      </c>
      <c r="E243" s="9" t="s">
        <v>25</v>
      </c>
      <c r="F243" s="9" t="s">
        <v>35</v>
      </c>
      <c r="G243" s="9" t="s">
        <v>36</v>
      </c>
      <c r="H243" s="17">
        <v>40320</v>
      </c>
      <c r="I243" s="17">
        <v>40322</v>
      </c>
      <c r="J243" s="18">
        <v>1</v>
      </c>
      <c r="K243" s="122"/>
      <c r="L243" s="122"/>
      <c r="M243" s="122"/>
      <c r="N243" s="122"/>
      <c r="O243" s="122"/>
      <c r="P243" s="122"/>
      <c r="Q243" s="122"/>
      <c r="R243" s="122"/>
      <c r="S243" s="122">
        <f>AJ243*AM243*AN243*0.01</f>
        <v>3908.4507042253517</v>
      </c>
      <c r="T243" s="122">
        <f>$S243*0.4089</f>
        <v>1598.1654929577462</v>
      </c>
      <c r="U243" s="122">
        <f>$S243*0.0263</f>
        <v>102.79225352112675</v>
      </c>
      <c r="V243" s="123"/>
      <c r="W243" s="122"/>
      <c r="X243" s="122"/>
      <c r="Y243" s="122"/>
      <c r="Z243" s="122"/>
      <c r="AG243" s="124">
        <v>1.42</v>
      </c>
      <c r="AH243" s="1">
        <v>5</v>
      </c>
      <c r="AI243" s="1"/>
      <c r="AJ243" s="124">
        <f t="shared" si="10"/>
        <v>3.5211267605633805</v>
      </c>
      <c r="AK243" s="1" t="s">
        <v>67</v>
      </c>
      <c r="AL243" s="122"/>
      <c r="AM243" s="122">
        <v>3000</v>
      </c>
      <c r="AN243" s="122">
        <v>37</v>
      </c>
      <c r="AO243" s="122"/>
      <c r="AP243" s="122"/>
      <c r="AQ243" s="122"/>
      <c r="AR243" s="122"/>
    </row>
    <row r="244" spans="1:44">
      <c r="A244" s="75">
        <v>243</v>
      </c>
      <c r="B244" s="112">
        <v>2010</v>
      </c>
      <c r="C244" s="117" t="s">
        <v>138</v>
      </c>
      <c r="D244" s="9" t="s">
        <v>108</v>
      </c>
      <c r="E244" s="9" t="s">
        <v>17</v>
      </c>
      <c r="F244" s="9" t="s">
        <v>37</v>
      </c>
      <c r="G244" s="9" t="s">
        <v>48</v>
      </c>
      <c r="H244" s="17">
        <v>40325</v>
      </c>
      <c r="I244" s="17"/>
      <c r="J244" s="18"/>
      <c r="K244" s="122">
        <v>97.68</v>
      </c>
      <c r="L244" s="122">
        <v>32.82</v>
      </c>
      <c r="M244" s="122">
        <v>0.39</v>
      </c>
      <c r="N244" s="122">
        <v>401.57</v>
      </c>
      <c r="O244" s="122">
        <v>4.1100000000000003</v>
      </c>
      <c r="P244" s="122">
        <f>AJ244*1000*AN244/100</f>
        <v>1240.2816901408451</v>
      </c>
      <c r="Q244" s="122">
        <f>N244*P244/1000</f>
        <v>498.05991830985914</v>
      </c>
      <c r="R244" s="122">
        <f>K244*P244/1000</f>
        <v>121.15071549295776</v>
      </c>
      <c r="S244" s="122"/>
      <c r="T244" s="122">
        <f>$AJ244*1000*$AN244*0.01*$N244*0.001</f>
        <v>498.05991830985926</v>
      </c>
      <c r="U244" s="122">
        <f>$AJ244*1000*$AN244*0.01*$K244*0.001</f>
        <v>121.15071549295779</v>
      </c>
      <c r="V244" s="123"/>
      <c r="W244" s="122"/>
      <c r="X244" s="122"/>
      <c r="Y244" s="122"/>
      <c r="Z244" s="122"/>
      <c r="AG244" s="124">
        <v>1.42</v>
      </c>
      <c r="AH244" s="1">
        <v>68</v>
      </c>
      <c r="AI244" s="1"/>
      <c r="AJ244" s="124">
        <f t="shared" si="10"/>
        <v>47.887323943661976</v>
      </c>
      <c r="AK244" s="1" t="s">
        <v>5</v>
      </c>
      <c r="AL244" s="122"/>
      <c r="AM244" s="122"/>
      <c r="AN244" s="122">
        <v>2.59</v>
      </c>
      <c r="AO244" s="122">
        <v>52.676056338028182</v>
      </c>
      <c r="AP244" s="122">
        <v>31.605633802816904</v>
      </c>
      <c r="AQ244" s="122">
        <v>95.774647887323951</v>
      </c>
      <c r="AR244" s="122">
        <v>4.7887323943661979</v>
      </c>
    </row>
    <row r="245" spans="1:44">
      <c r="A245" s="75">
        <v>244</v>
      </c>
      <c r="B245" s="112">
        <v>2010</v>
      </c>
      <c r="C245" s="117" t="s">
        <v>138</v>
      </c>
      <c r="D245" s="9" t="s">
        <v>108</v>
      </c>
      <c r="E245" s="9" t="s">
        <v>25</v>
      </c>
      <c r="F245" s="9" t="s">
        <v>35</v>
      </c>
      <c r="G245" s="9" t="s">
        <v>45</v>
      </c>
      <c r="H245" s="17">
        <v>40357</v>
      </c>
      <c r="I245" s="17">
        <v>40358</v>
      </c>
      <c r="J245" s="18">
        <v>2</v>
      </c>
      <c r="K245" s="122"/>
      <c r="L245" s="122"/>
      <c r="M245" s="122"/>
      <c r="N245" s="122"/>
      <c r="O245" s="122"/>
      <c r="P245" s="122"/>
      <c r="Q245" s="122"/>
      <c r="R245" s="122"/>
      <c r="S245" s="122">
        <f>AJ245*AM245*AN245*0.01</f>
        <v>2246.9014084507044</v>
      </c>
      <c r="T245" s="122">
        <f>$S245*0.4089</f>
        <v>918.75798591549301</v>
      </c>
      <c r="U245" s="122">
        <f>$S245*0.0263</f>
        <v>59.093507042253528</v>
      </c>
      <c r="V245" s="123"/>
      <c r="W245" s="122"/>
      <c r="X245" s="122"/>
      <c r="Y245" s="122"/>
      <c r="Z245" s="122"/>
      <c r="AG245" s="124">
        <v>1.42</v>
      </c>
      <c r="AH245" s="1">
        <v>140</v>
      </c>
      <c r="AI245" s="1"/>
      <c r="AJ245" s="124">
        <f t="shared" si="10"/>
        <v>98.591549295774655</v>
      </c>
      <c r="AK245" s="1" t="s">
        <v>71</v>
      </c>
      <c r="AL245" s="122"/>
      <c r="AM245" s="122">
        <v>26.5</v>
      </c>
      <c r="AN245" s="122">
        <v>86</v>
      </c>
      <c r="AO245" s="122"/>
      <c r="AP245" s="122"/>
      <c r="AQ245" s="122"/>
      <c r="AR245" s="122"/>
    </row>
    <row r="246" spans="1:44">
      <c r="A246" s="75">
        <v>245</v>
      </c>
      <c r="B246" s="112">
        <v>2010</v>
      </c>
      <c r="C246" s="117" t="s">
        <v>138</v>
      </c>
      <c r="D246" s="9" t="s">
        <v>108</v>
      </c>
      <c r="E246" s="9" t="s">
        <v>17</v>
      </c>
      <c r="F246" s="9" t="s">
        <v>37</v>
      </c>
      <c r="G246" s="9" t="s">
        <v>48</v>
      </c>
      <c r="H246" s="17">
        <v>40365</v>
      </c>
      <c r="I246" s="17"/>
      <c r="J246" s="18"/>
      <c r="K246" s="122">
        <v>37.82</v>
      </c>
      <c r="L246" s="122">
        <v>15.27</v>
      </c>
      <c r="M246" s="122" t="s">
        <v>62</v>
      </c>
      <c r="N246" s="122">
        <v>446.49</v>
      </c>
      <c r="O246" s="122">
        <v>11.81</v>
      </c>
      <c r="P246" s="122">
        <f>AJ246*1000*AN246/100</f>
        <v>697.18309859154931</v>
      </c>
      <c r="Q246" s="122">
        <f>N246*P246/1000</f>
        <v>311.28528169014083</v>
      </c>
      <c r="R246" s="122">
        <f>K246*P246/1000</f>
        <v>26.367464788732395</v>
      </c>
      <c r="S246" s="122"/>
      <c r="T246" s="122">
        <f>$AJ246*1000*$AN246*0.01*$N246*0.001</f>
        <v>311.28528169014083</v>
      </c>
      <c r="U246" s="122">
        <f>$AJ246*1000*$AN246*0.01*$K246*0.001</f>
        <v>26.367464788732395</v>
      </c>
      <c r="V246" s="123"/>
      <c r="W246" s="122"/>
      <c r="X246" s="122"/>
      <c r="Y246" s="122"/>
      <c r="Z246" s="122"/>
      <c r="AG246" s="124">
        <v>1.42</v>
      </c>
      <c r="AH246" s="1">
        <v>36</v>
      </c>
      <c r="AI246" s="1"/>
      <c r="AJ246" s="124">
        <f t="shared" si="10"/>
        <v>25.35211267605634</v>
      </c>
      <c r="AK246" s="1" t="s">
        <v>5</v>
      </c>
      <c r="AL246" s="122"/>
      <c r="AM246" s="122"/>
      <c r="AN246" s="122">
        <v>2.75</v>
      </c>
      <c r="AO246" s="122">
        <v>17.746478873239436</v>
      </c>
      <c r="AP246" s="122">
        <v>15.211267605633802</v>
      </c>
      <c r="AQ246" s="122">
        <v>65.915492957746494</v>
      </c>
      <c r="AR246" s="122">
        <v>2.535211267605634</v>
      </c>
    </row>
    <row r="247" spans="1:44">
      <c r="A247" s="75">
        <v>246</v>
      </c>
      <c r="B247" s="112">
        <v>2010</v>
      </c>
      <c r="C247" s="117" t="s">
        <v>138</v>
      </c>
      <c r="D247" s="9" t="s">
        <v>108</v>
      </c>
      <c r="E247" s="9" t="s">
        <v>25</v>
      </c>
      <c r="F247" s="9" t="s">
        <v>35</v>
      </c>
      <c r="G247" s="33" t="s">
        <v>43</v>
      </c>
      <c r="H247" s="17">
        <v>40410</v>
      </c>
      <c r="I247" s="17">
        <v>40412</v>
      </c>
      <c r="J247" s="18">
        <v>3</v>
      </c>
      <c r="K247" s="122"/>
      <c r="L247" s="122"/>
      <c r="M247" s="122"/>
      <c r="N247" s="122"/>
      <c r="O247" s="122"/>
      <c r="P247" s="122"/>
      <c r="Q247" s="122"/>
      <c r="R247" s="122"/>
      <c r="S247" s="122">
        <f>AJ247*AM247*AN247*0.01</f>
        <v>1478.87323943662</v>
      </c>
      <c r="T247" s="122">
        <f>$S247*0.4089</f>
        <v>604.71126760563391</v>
      </c>
      <c r="U247" s="122">
        <f>$S247*0.0263</f>
        <v>38.894366197183103</v>
      </c>
      <c r="V247" s="123"/>
      <c r="W247" s="122"/>
      <c r="X247" s="122"/>
      <c r="Y247" s="122"/>
      <c r="Z247" s="122"/>
      <c r="AG247" s="124">
        <v>1.42</v>
      </c>
      <c r="AH247" s="1">
        <v>2</v>
      </c>
      <c r="AI247" s="1"/>
      <c r="AJ247" s="124">
        <f t="shared" si="10"/>
        <v>1.4084507042253522</v>
      </c>
      <c r="AK247" s="1" t="s">
        <v>67</v>
      </c>
      <c r="AL247" s="122"/>
      <c r="AM247" s="122">
        <v>1500</v>
      </c>
      <c r="AN247" s="122">
        <v>70</v>
      </c>
      <c r="AO247" s="122"/>
      <c r="AP247" s="122"/>
      <c r="AQ247" s="122"/>
      <c r="AR247" s="122"/>
    </row>
    <row r="248" spans="1:44">
      <c r="A248" s="75">
        <v>247</v>
      </c>
      <c r="B248" s="112">
        <v>2010</v>
      </c>
      <c r="C248" s="117" t="s">
        <v>138</v>
      </c>
      <c r="D248" s="9" t="s">
        <v>108</v>
      </c>
      <c r="E248" s="9" t="s">
        <v>17</v>
      </c>
      <c r="F248" s="9" t="s">
        <v>37</v>
      </c>
      <c r="G248" s="9" t="s">
        <v>48</v>
      </c>
      <c r="H248" s="17">
        <v>40415</v>
      </c>
      <c r="I248" s="17"/>
      <c r="J248" s="18"/>
      <c r="K248" s="122">
        <v>65.44</v>
      </c>
      <c r="L248" s="122">
        <v>30.15</v>
      </c>
      <c r="M248" s="122">
        <v>0.74</v>
      </c>
      <c r="N248" s="122">
        <v>375.83</v>
      </c>
      <c r="O248" s="122">
        <v>5.74</v>
      </c>
      <c r="P248" s="122">
        <f>AJ248*1000*AN248/100</f>
        <v>373.52112676056345</v>
      </c>
      <c r="Q248" s="122">
        <f>N248*P248/1000</f>
        <v>140.38044507042255</v>
      </c>
      <c r="R248" s="122">
        <f>K248*P248/1000</f>
        <v>24.443222535211273</v>
      </c>
      <c r="S248" s="122"/>
      <c r="T248" s="122">
        <f>$AJ248*1000*$AN248*0.01*$N248*0.001</f>
        <v>140.38044507042255</v>
      </c>
      <c r="U248" s="122">
        <f>$AJ248*1000*$AN248*0.01*$K248*0.001</f>
        <v>24.443222535211273</v>
      </c>
      <c r="V248" s="123"/>
      <c r="W248" s="122"/>
      <c r="X248" s="122"/>
      <c r="Y248" s="122"/>
      <c r="Z248" s="122"/>
      <c r="AG248" s="124">
        <v>1.42</v>
      </c>
      <c r="AH248" s="1">
        <v>39</v>
      </c>
      <c r="AI248" s="1"/>
      <c r="AJ248" s="124">
        <f t="shared" si="10"/>
        <v>27.464788732394368</v>
      </c>
      <c r="AK248" s="1" t="s">
        <v>5</v>
      </c>
      <c r="AL248" s="122"/>
      <c r="AM248" s="122"/>
      <c r="AN248" s="122">
        <v>1.36</v>
      </c>
      <c r="AO248" s="122">
        <v>30.211267605633807</v>
      </c>
      <c r="AP248" s="122">
        <v>18.126760563380284</v>
      </c>
      <c r="AQ248" s="122">
        <v>54.929577464788736</v>
      </c>
      <c r="AR248" s="122">
        <v>2.746478873239437</v>
      </c>
    </row>
    <row r="249" spans="1:44">
      <c r="A249" s="75">
        <v>248</v>
      </c>
      <c r="B249" s="112">
        <v>2010</v>
      </c>
      <c r="C249" s="117" t="s">
        <v>138</v>
      </c>
      <c r="D249" s="9" t="s">
        <v>108</v>
      </c>
      <c r="E249" s="9" t="s">
        <v>25</v>
      </c>
      <c r="F249" s="9" t="s">
        <v>35</v>
      </c>
      <c r="G249" s="34" t="s">
        <v>36</v>
      </c>
      <c r="H249" s="17">
        <v>40459</v>
      </c>
      <c r="I249" s="17">
        <v>40463</v>
      </c>
      <c r="J249" s="18">
        <v>4</v>
      </c>
      <c r="K249" s="122"/>
      <c r="L249" s="122"/>
      <c r="M249" s="122"/>
      <c r="N249" s="122"/>
      <c r="O249" s="122"/>
      <c r="P249" s="122"/>
      <c r="Q249" s="122"/>
      <c r="R249" s="122"/>
      <c r="S249" s="122">
        <f>AJ249*AM249*AN249*0.01</f>
        <v>801.23239436619724</v>
      </c>
      <c r="T249" s="122">
        <f>$S249*0.4089</f>
        <v>327.62392605633806</v>
      </c>
      <c r="U249" s="122">
        <f>$S249*0.0263</f>
        <v>21.072411971830988</v>
      </c>
      <c r="V249" s="123"/>
      <c r="W249" s="122"/>
      <c r="X249" s="122"/>
      <c r="Y249" s="122"/>
      <c r="Z249" s="122"/>
      <c r="AG249" s="124">
        <v>1.42</v>
      </c>
      <c r="AH249" s="1">
        <v>5</v>
      </c>
      <c r="AI249" s="1"/>
      <c r="AJ249" s="124">
        <f t="shared" si="10"/>
        <v>3.5211267605633805</v>
      </c>
      <c r="AK249" s="137" t="s">
        <v>70</v>
      </c>
      <c r="AL249" s="122"/>
      <c r="AM249" s="122">
        <v>615</v>
      </c>
      <c r="AN249" s="122">
        <v>37</v>
      </c>
      <c r="AO249" s="122"/>
      <c r="AP249" s="122"/>
      <c r="AQ249" s="122"/>
      <c r="AR249" s="122"/>
    </row>
    <row r="250" spans="1:44">
      <c r="A250" s="75">
        <v>249</v>
      </c>
      <c r="B250" s="112">
        <v>2010</v>
      </c>
      <c r="C250" s="117" t="s">
        <v>138</v>
      </c>
      <c r="D250" s="9" t="s">
        <v>108</v>
      </c>
      <c r="E250" s="9" t="s">
        <v>17</v>
      </c>
      <c r="F250" s="9" t="s">
        <v>37</v>
      </c>
      <c r="G250" s="9" t="s">
        <v>48</v>
      </c>
      <c r="H250" s="17">
        <v>40479</v>
      </c>
      <c r="I250" s="17"/>
      <c r="J250" s="18"/>
      <c r="K250" s="122">
        <v>72.48</v>
      </c>
      <c r="L250" s="122">
        <v>32.21</v>
      </c>
      <c r="M250" s="122">
        <v>1.34</v>
      </c>
      <c r="N250" s="122">
        <v>388.17</v>
      </c>
      <c r="O250" s="122">
        <v>5.36</v>
      </c>
      <c r="P250" s="122">
        <f>AJ250*1000*AN250/100</f>
        <v>598.09859154929575</v>
      </c>
      <c r="Q250" s="122">
        <f>N250*P250/1000</f>
        <v>232.16393028169014</v>
      </c>
      <c r="R250" s="122">
        <f>K250*P250/1000</f>
        <v>43.350185915492958</v>
      </c>
      <c r="S250" s="122"/>
      <c r="T250" s="122">
        <f>$AJ250*1000*$AN250*0.01*$N250*0.001</f>
        <v>232.16393028169014</v>
      </c>
      <c r="U250" s="122">
        <f>$AJ250*1000*$AN250*0.01*$K250*0.001</f>
        <v>43.350185915492958</v>
      </c>
      <c r="V250" s="123"/>
      <c r="W250" s="122"/>
      <c r="X250" s="122"/>
      <c r="Y250" s="122"/>
      <c r="Z250" s="122"/>
      <c r="AG250" s="124">
        <v>1.42</v>
      </c>
      <c r="AH250" s="1">
        <v>57</v>
      </c>
      <c r="AI250" s="1"/>
      <c r="AJ250" s="124">
        <f t="shared" si="10"/>
        <v>40.140845070422536</v>
      </c>
      <c r="AK250" s="1" t="s">
        <v>5</v>
      </c>
      <c r="AL250" s="122"/>
      <c r="AM250" s="122"/>
      <c r="AN250" s="122">
        <v>1.49</v>
      </c>
      <c r="AO250" s="122">
        <v>44.154929577464792</v>
      </c>
      <c r="AP250" s="122">
        <v>26.492957746478879</v>
      </c>
      <c r="AQ250" s="122">
        <v>80.281690140845072</v>
      </c>
      <c r="AR250" s="122">
        <v>4.0140845070422539</v>
      </c>
    </row>
    <row r="251" spans="1:44">
      <c r="A251" s="75">
        <v>250</v>
      </c>
      <c r="B251" s="112">
        <v>2010</v>
      </c>
      <c r="C251" s="118" t="s">
        <v>139</v>
      </c>
      <c r="D251" s="9" t="s">
        <v>108</v>
      </c>
      <c r="E251" s="9" t="s">
        <v>17</v>
      </c>
      <c r="F251" s="9" t="s">
        <v>37</v>
      </c>
      <c r="G251" s="9" t="s">
        <v>48</v>
      </c>
      <c r="H251" s="17">
        <v>40255</v>
      </c>
      <c r="I251" s="17"/>
      <c r="J251" s="18"/>
      <c r="K251" s="122">
        <v>62.17</v>
      </c>
      <c r="L251" s="122">
        <v>26.52</v>
      </c>
      <c r="M251" s="122">
        <v>0.43</v>
      </c>
      <c r="N251" s="122">
        <v>404</v>
      </c>
      <c r="O251" s="122">
        <v>6.5</v>
      </c>
      <c r="P251" s="122">
        <f>AJ251*1000*AN251/100</f>
        <v>599.69325153374234</v>
      </c>
      <c r="Q251" s="122">
        <f>N251*P251/1000</f>
        <v>242.27607361963192</v>
      </c>
      <c r="R251" s="122">
        <f>K251*P251/1000</f>
        <v>37.282929447852759</v>
      </c>
      <c r="S251" s="122"/>
      <c r="T251" s="122">
        <f>$AJ251*1000*$AN251*0.01*$N251*0.001</f>
        <v>242.27607361963192</v>
      </c>
      <c r="U251" s="122">
        <f>$AJ251*1000*$AN251*0.01*$K251*0.001</f>
        <v>37.282929447852759</v>
      </c>
      <c r="V251" s="123"/>
      <c r="W251" s="122"/>
      <c r="X251" s="122"/>
      <c r="Y251" s="122"/>
      <c r="Z251" s="122"/>
      <c r="AG251" s="124">
        <v>3.26</v>
      </c>
      <c r="AH251" s="1">
        <v>85</v>
      </c>
      <c r="AI251" s="1"/>
      <c r="AJ251" s="124">
        <f t="shared" si="10"/>
        <v>26.073619631901842</v>
      </c>
      <c r="AK251" s="1" t="s">
        <v>5</v>
      </c>
      <c r="AL251" s="122"/>
      <c r="AM251" s="122"/>
      <c r="AN251" s="122">
        <v>2.2999999999999998</v>
      </c>
      <c r="AO251" s="122">
        <v>28.680981595092032</v>
      </c>
      <c r="AP251" s="122">
        <v>17.208588957055216</v>
      </c>
      <c r="AQ251" s="122">
        <v>52.147239263803684</v>
      </c>
      <c r="AR251" s="122">
        <v>2.6073619631901841</v>
      </c>
    </row>
    <row r="252" spans="1:44">
      <c r="A252" s="75">
        <v>251</v>
      </c>
      <c r="B252" s="112">
        <v>2010</v>
      </c>
      <c r="C252" s="118" t="s">
        <v>139</v>
      </c>
      <c r="D252" s="9" t="s">
        <v>108</v>
      </c>
      <c r="E252" s="9" t="s">
        <v>23</v>
      </c>
      <c r="F252" s="9" t="s">
        <v>38</v>
      </c>
      <c r="G252" s="4" t="s">
        <v>51</v>
      </c>
      <c r="H252" s="17">
        <v>40257</v>
      </c>
      <c r="I252" s="17"/>
      <c r="J252" s="18"/>
      <c r="K252" s="122"/>
      <c r="L252" s="122"/>
      <c r="M252" s="122"/>
      <c r="N252" s="122"/>
      <c r="O252" s="122"/>
      <c r="P252" s="122"/>
      <c r="Q252" s="122"/>
      <c r="R252" s="122"/>
      <c r="S252" s="122"/>
      <c r="T252" s="122"/>
      <c r="U252" s="122"/>
      <c r="V252" s="123"/>
      <c r="W252" s="122"/>
      <c r="X252" s="122"/>
      <c r="Y252" s="122"/>
      <c r="Z252" s="122"/>
      <c r="AG252" s="124">
        <v>1.42</v>
      </c>
      <c r="AH252" s="1">
        <v>10</v>
      </c>
      <c r="AI252" s="1"/>
      <c r="AJ252" s="124">
        <f t="shared" si="10"/>
        <v>7.042253521126761</v>
      </c>
      <c r="AK252" s="1" t="s">
        <v>3</v>
      </c>
      <c r="AL252" s="122"/>
      <c r="AM252" s="122"/>
      <c r="AN252" s="122"/>
      <c r="AO252" s="122"/>
      <c r="AP252" s="122"/>
      <c r="AQ252" s="122"/>
      <c r="AR252" s="122"/>
    </row>
    <row r="253" spans="1:44">
      <c r="A253" s="75">
        <v>252</v>
      </c>
      <c r="B253" s="112">
        <v>2010</v>
      </c>
      <c r="C253" s="118" t="s">
        <v>139</v>
      </c>
      <c r="D253" s="9" t="s">
        <v>108</v>
      </c>
      <c r="E253" s="9" t="s">
        <v>26</v>
      </c>
      <c r="F253" s="9" t="s">
        <v>42</v>
      </c>
      <c r="G253" s="9"/>
      <c r="H253" s="17">
        <v>40261</v>
      </c>
      <c r="I253" s="17"/>
      <c r="J253" s="18"/>
      <c r="K253" s="122"/>
      <c r="L253" s="122"/>
      <c r="M253" s="122"/>
      <c r="N253" s="122"/>
      <c r="O253" s="122"/>
      <c r="P253" s="122"/>
      <c r="Q253" s="122"/>
      <c r="R253" s="122"/>
      <c r="S253" s="122"/>
      <c r="T253" s="122"/>
      <c r="U253" s="122"/>
      <c r="V253" s="123"/>
      <c r="W253" s="122"/>
      <c r="X253" s="122"/>
      <c r="Y253" s="122"/>
      <c r="Z253" s="122"/>
      <c r="AG253" s="124">
        <v>3.26</v>
      </c>
      <c r="AH253" s="122"/>
      <c r="AI253" s="122"/>
      <c r="AJ253" s="124" t="str">
        <f t="shared" si="10"/>
        <v/>
      </c>
      <c r="AL253" s="122"/>
      <c r="AM253" s="122"/>
      <c r="AN253" s="122"/>
      <c r="AO253" s="122"/>
      <c r="AP253" s="122"/>
      <c r="AQ253" s="122"/>
      <c r="AR253" s="122"/>
    </row>
    <row r="254" spans="1:44">
      <c r="A254" s="75">
        <v>253</v>
      </c>
      <c r="B254" s="112">
        <v>2010</v>
      </c>
      <c r="C254" s="118" t="s">
        <v>139</v>
      </c>
      <c r="D254" s="9" t="s">
        <v>108</v>
      </c>
      <c r="E254" s="9" t="s">
        <v>25</v>
      </c>
      <c r="F254" s="9" t="s">
        <v>29</v>
      </c>
      <c r="G254" s="9" t="s">
        <v>47</v>
      </c>
      <c r="H254" s="17">
        <v>40274</v>
      </c>
      <c r="I254" s="17">
        <v>40301</v>
      </c>
      <c r="J254" s="18">
        <v>1</v>
      </c>
      <c r="K254" s="122"/>
      <c r="L254" s="122"/>
      <c r="M254" s="122"/>
      <c r="N254" s="122"/>
      <c r="O254" s="122"/>
      <c r="P254" s="122"/>
      <c r="Q254" s="122"/>
      <c r="R254" s="122"/>
      <c r="S254" s="122">
        <f>AJ254*AM254*AL254</f>
        <v>745.398773006135</v>
      </c>
      <c r="T254" s="122">
        <f>$S254*0.4089</f>
        <v>304.79355828220861</v>
      </c>
      <c r="U254" s="122">
        <f>$S254*0.0263</f>
        <v>19.603987730061352</v>
      </c>
      <c r="V254" s="123"/>
      <c r="W254" s="122"/>
      <c r="X254" s="122"/>
      <c r="Y254" s="122"/>
      <c r="Z254" s="122"/>
      <c r="AG254" s="124">
        <v>3.26</v>
      </c>
      <c r="AH254" s="124">
        <v>60</v>
      </c>
      <c r="AI254" s="124"/>
      <c r="AJ254" s="124">
        <f t="shared" si="10"/>
        <v>18.404907975460123</v>
      </c>
      <c r="AK254" s="1" t="s">
        <v>66</v>
      </c>
      <c r="AL254" s="122">
        <v>27</v>
      </c>
      <c r="AM254" s="122">
        <v>1.5</v>
      </c>
      <c r="AN254" s="122"/>
      <c r="AO254" s="122"/>
      <c r="AP254" s="122"/>
      <c r="AQ254" s="122"/>
      <c r="AR254" s="122"/>
    </row>
    <row r="255" spans="1:44">
      <c r="A255" s="75">
        <v>254</v>
      </c>
      <c r="B255" s="112">
        <v>2010</v>
      </c>
      <c r="C255" s="118" t="s">
        <v>139</v>
      </c>
      <c r="D255" s="9" t="s">
        <v>108</v>
      </c>
      <c r="E255" s="9" t="s">
        <v>23</v>
      </c>
      <c r="F255" s="9" t="s">
        <v>38</v>
      </c>
      <c r="G255" s="4" t="s">
        <v>51</v>
      </c>
      <c r="H255" s="17">
        <v>40280</v>
      </c>
      <c r="I255" s="17"/>
      <c r="J255" s="18"/>
      <c r="K255" s="122"/>
      <c r="L255" s="122"/>
      <c r="M255" s="122"/>
      <c r="N255" s="122"/>
      <c r="O255" s="122"/>
      <c r="P255" s="122"/>
      <c r="Q255" s="122"/>
      <c r="R255" s="122"/>
      <c r="S255" s="122"/>
      <c r="T255" s="122"/>
      <c r="U255" s="122"/>
      <c r="V255" s="123"/>
      <c r="W255" s="122"/>
      <c r="X255" s="122"/>
      <c r="Y255" s="122"/>
      <c r="Z255" s="122"/>
      <c r="AG255" s="124">
        <v>3.26</v>
      </c>
      <c r="AH255" s="1">
        <v>30</v>
      </c>
      <c r="AI255" s="1"/>
      <c r="AJ255" s="124">
        <f t="shared" si="10"/>
        <v>9.2024539877300615</v>
      </c>
      <c r="AK255" s="1" t="s">
        <v>3</v>
      </c>
      <c r="AL255" s="122"/>
      <c r="AM255" s="122"/>
      <c r="AN255" s="122"/>
      <c r="AO255" s="122"/>
      <c r="AP255" s="122"/>
      <c r="AQ255" s="122"/>
      <c r="AR255" s="122"/>
    </row>
    <row r="256" spans="1:44">
      <c r="A256" s="75">
        <v>255</v>
      </c>
      <c r="B256" s="112">
        <v>2010</v>
      </c>
      <c r="C256" s="118" t="s">
        <v>139</v>
      </c>
      <c r="D256" s="9" t="s">
        <v>108</v>
      </c>
      <c r="E256" s="9" t="s">
        <v>25</v>
      </c>
      <c r="F256" s="9" t="s">
        <v>29</v>
      </c>
      <c r="G256" s="9" t="s">
        <v>47</v>
      </c>
      <c r="H256" s="17">
        <v>40283</v>
      </c>
      <c r="I256" s="17">
        <v>40301</v>
      </c>
      <c r="J256" s="18">
        <v>1</v>
      </c>
      <c r="K256" s="122"/>
      <c r="L256" s="122"/>
      <c r="M256" s="122"/>
      <c r="N256" s="122"/>
      <c r="O256" s="122"/>
      <c r="P256" s="122"/>
      <c r="Q256" s="122"/>
      <c r="R256" s="122"/>
      <c r="S256" s="122">
        <f>AJ256*AM256*AL256</f>
        <v>414.11042944785277</v>
      </c>
      <c r="T256" s="122">
        <f>$S256*0.4089</f>
        <v>169.32975460122699</v>
      </c>
      <c r="U256" s="122">
        <f>$S256*0.0263</f>
        <v>10.891104294478527</v>
      </c>
      <c r="V256" s="123"/>
      <c r="W256" s="122"/>
      <c r="X256" s="122"/>
      <c r="Y256" s="122"/>
      <c r="Z256" s="122"/>
      <c r="AG256" s="124">
        <v>3.26</v>
      </c>
      <c r="AH256" s="124">
        <v>50</v>
      </c>
      <c r="AI256" s="124"/>
      <c r="AJ256" s="124">
        <f>IF(AH256/AG256&gt;0, AH256/AG256,"")</f>
        <v>15.337423312883436</v>
      </c>
      <c r="AK256" s="1" t="s">
        <v>66</v>
      </c>
      <c r="AL256" s="122">
        <v>18</v>
      </c>
      <c r="AM256" s="122">
        <v>1.5</v>
      </c>
      <c r="AN256" s="122"/>
      <c r="AO256" s="122"/>
      <c r="AP256" s="122"/>
      <c r="AQ256" s="122"/>
      <c r="AR256" s="122"/>
    </row>
    <row r="257" spans="1:44">
      <c r="A257" s="75">
        <v>256</v>
      </c>
      <c r="B257" s="112">
        <v>2010</v>
      </c>
      <c r="C257" s="118" t="s">
        <v>139</v>
      </c>
      <c r="D257" s="9" t="s">
        <v>108</v>
      </c>
      <c r="E257" s="9" t="s">
        <v>23</v>
      </c>
      <c r="F257" s="9" t="s">
        <v>38</v>
      </c>
      <c r="G257" s="4" t="s">
        <v>50</v>
      </c>
      <c r="H257" s="17">
        <v>40287</v>
      </c>
      <c r="I257" s="17"/>
      <c r="J257" s="18"/>
      <c r="K257" s="122"/>
      <c r="L257" s="122"/>
      <c r="M257" s="122"/>
      <c r="N257" s="122"/>
      <c r="O257" s="122"/>
      <c r="P257" s="122"/>
      <c r="Q257" s="122"/>
      <c r="R257" s="122"/>
      <c r="S257" s="122"/>
      <c r="T257" s="122"/>
      <c r="U257" s="122"/>
      <c r="V257" s="123"/>
      <c r="W257" s="122"/>
      <c r="X257" s="122"/>
      <c r="Y257" s="122"/>
      <c r="Z257" s="122"/>
      <c r="AG257" s="124">
        <v>3.26</v>
      </c>
      <c r="AH257" s="1">
        <v>20</v>
      </c>
      <c r="AI257" s="1"/>
      <c r="AJ257" s="124">
        <f t="shared" si="10"/>
        <v>6.1349693251533743</v>
      </c>
      <c r="AK257" s="1" t="s">
        <v>3</v>
      </c>
      <c r="AL257" s="122"/>
      <c r="AM257" s="122"/>
      <c r="AN257" s="122"/>
      <c r="AO257" s="122"/>
      <c r="AP257" s="122"/>
      <c r="AQ257" s="122"/>
      <c r="AR257" s="122"/>
    </row>
    <row r="258" spans="1:44">
      <c r="A258" s="75">
        <v>257</v>
      </c>
      <c r="B258" s="112">
        <v>2010</v>
      </c>
      <c r="C258" s="118" t="s">
        <v>139</v>
      </c>
      <c r="D258" s="9" t="s">
        <v>108</v>
      </c>
      <c r="E258" s="9" t="s">
        <v>23</v>
      </c>
      <c r="F258" s="9" t="s">
        <v>38</v>
      </c>
      <c r="G258" s="9" t="s">
        <v>52</v>
      </c>
      <c r="H258" s="17">
        <v>40291</v>
      </c>
      <c r="I258" s="17"/>
      <c r="J258" s="18"/>
      <c r="K258" s="122"/>
      <c r="L258" s="122"/>
      <c r="M258" s="122"/>
      <c r="N258" s="122"/>
      <c r="O258" s="122"/>
      <c r="P258" s="122"/>
      <c r="Q258" s="122"/>
      <c r="R258" s="122"/>
      <c r="S258" s="122"/>
      <c r="T258" s="122"/>
      <c r="U258" s="122"/>
      <c r="V258" s="123"/>
      <c r="W258" s="122"/>
      <c r="X258" s="122"/>
      <c r="Y258" s="122"/>
      <c r="Z258" s="122"/>
      <c r="AG258" s="124">
        <v>3.26</v>
      </c>
      <c r="AH258" s="1">
        <v>10</v>
      </c>
      <c r="AI258" s="1"/>
      <c r="AJ258" s="124">
        <f t="shared" si="10"/>
        <v>3.0674846625766872</v>
      </c>
      <c r="AK258" s="1" t="s">
        <v>3</v>
      </c>
      <c r="AL258" s="122"/>
      <c r="AM258" s="122"/>
      <c r="AN258" s="122"/>
      <c r="AO258" s="122"/>
      <c r="AP258" s="122"/>
      <c r="AQ258" s="122"/>
      <c r="AR258" s="122"/>
    </row>
    <row r="259" spans="1:44">
      <c r="A259" s="75">
        <v>258</v>
      </c>
      <c r="B259" s="112">
        <v>2010</v>
      </c>
      <c r="C259" s="118" t="s">
        <v>139</v>
      </c>
      <c r="D259" s="9" t="s">
        <v>108</v>
      </c>
      <c r="E259" s="9" t="s">
        <v>23</v>
      </c>
      <c r="F259" s="9" t="s">
        <v>38</v>
      </c>
      <c r="G259" s="9" t="s">
        <v>52</v>
      </c>
      <c r="H259" s="17">
        <v>40296</v>
      </c>
      <c r="I259" s="17"/>
      <c r="J259" s="18"/>
      <c r="K259" s="122"/>
      <c r="L259" s="122"/>
      <c r="M259" s="122"/>
      <c r="N259" s="122"/>
      <c r="O259" s="122"/>
      <c r="P259" s="122"/>
      <c r="Q259" s="122"/>
      <c r="R259" s="122"/>
      <c r="S259" s="122"/>
      <c r="T259" s="122"/>
      <c r="U259" s="122"/>
      <c r="V259" s="123"/>
      <c r="W259" s="122"/>
      <c r="X259" s="122"/>
      <c r="Y259" s="122"/>
      <c r="Z259" s="122"/>
      <c r="AG259" s="124">
        <v>3.26</v>
      </c>
      <c r="AH259" s="1">
        <v>10</v>
      </c>
      <c r="AI259" s="1"/>
      <c r="AJ259" s="124">
        <f t="shared" si="10"/>
        <v>3.0674846625766872</v>
      </c>
      <c r="AK259" s="1" t="s">
        <v>3</v>
      </c>
      <c r="AL259" s="122"/>
      <c r="AM259" s="122"/>
      <c r="AN259" s="122"/>
      <c r="AO259" s="122"/>
      <c r="AP259" s="122"/>
      <c r="AQ259" s="122"/>
      <c r="AR259" s="122"/>
    </row>
    <row r="260" spans="1:44">
      <c r="A260" s="75">
        <v>259</v>
      </c>
      <c r="B260" s="112">
        <f>2010</f>
        <v>2010</v>
      </c>
      <c r="C260" s="118" t="s">
        <v>139</v>
      </c>
      <c r="D260" s="9" t="s">
        <v>108</v>
      </c>
      <c r="E260" s="9" t="s">
        <v>25</v>
      </c>
      <c r="F260" s="9" t="s">
        <v>29</v>
      </c>
      <c r="G260" s="9" t="s">
        <v>47</v>
      </c>
      <c r="H260" s="17">
        <v>40312</v>
      </c>
      <c r="I260" s="17">
        <v>40325</v>
      </c>
      <c r="J260" s="18">
        <v>2</v>
      </c>
      <c r="K260" s="122"/>
      <c r="L260" s="122"/>
      <c r="M260" s="122"/>
      <c r="N260" s="122"/>
      <c r="O260" s="122"/>
      <c r="P260" s="122"/>
      <c r="Q260" s="122"/>
      <c r="R260" s="122"/>
      <c r="S260" s="122">
        <f>AJ260*AM260*AL260</f>
        <v>239.2638036809816</v>
      </c>
      <c r="T260" s="122">
        <f>$S260*0.4089</f>
        <v>97.834969325153367</v>
      </c>
      <c r="U260" s="122">
        <f>$S260*0.0263</f>
        <v>6.2926380368098158</v>
      </c>
      <c r="V260" s="123"/>
      <c r="W260" s="122"/>
      <c r="X260" s="122"/>
      <c r="Y260" s="122"/>
      <c r="Z260" s="122"/>
      <c r="AG260" s="124">
        <v>3.26</v>
      </c>
      <c r="AH260" s="124">
        <v>40</v>
      </c>
      <c r="AI260" s="124"/>
      <c r="AJ260" s="124">
        <f t="shared" si="10"/>
        <v>12.269938650306749</v>
      </c>
      <c r="AK260" s="1" t="s">
        <v>66</v>
      </c>
      <c r="AL260" s="122">
        <v>13</v>
      </c>
      <c r="AM260" s="122">
        <v>1.5</v>
      </c>
      <c r="AN260" s="122"/>
      <c r="AO260" s="122"/>
      <c r="AP260" s="122"/>
      <c r="AQ260" s="122"/>
      <c r="AR260" s="122"/>
    </row>
    <row r="261" spans="1:44">
      <c r="A261" s="75">
        <v>260</v>
      </c>
      <c r="B261" s="112">
        <v>2010</v>
      </c>
      <c r="C261" s="118" t="s">
        <v>139</v>
      </c>
      <c r="D261" s="9" t="s">
        <v>108</v>
      </c>
      <c r="E261" s="9" t="s">
        <v>25</v>
      </c>
      <c r="F261" s="9" t="s">
        <v>29</v>
      </c>
      <c r="G261" s="9" t="s">
        <v>47</v>
      </c>
      <c r="H261" s="17">
        <v>40313</v>
      </c>
      <c r="I261" s="17">
        <v>40317</v>
      </c>
      <c r="J261" s="18">
        <v>2</v>
      </c>
      <c r="K261" s="122"/>
      <c r="L261" s="122"/>
      <c r="M261" s="122"/>
      <c r="N261" s="122"/>
      <c r="O261" s="122"/>
      <c r="P261" s="122"/>
      <c r="Q261" s="122"/>
      <c r="R261" s="122"/>
      <c r="S261" s="122">
        <f>AJ261*AM261*AL261</f>
        <v>110.42944785276075</v>
      </c>
      <c r="T261" s="122">
        <f>$S261*0.4089</f>
        <v>45.154601226993869</v>
      </c>
      <c r="U261" s="122">
        <f>$S261*0.0263</f>
        <v>2.9042944785276075</v>
      </c>
      <c r="V261" s="123"/>
      <c r="W261" s="122"/>
      <c r="X261" s="122"/>
      <c r="Y261" s="122"/>
      <c r="Z261" s="122"/>
      <c r="AG261" s="124">
        <v>3.26</v>
      </c>
      <c r="AH261" s="124">
        <v>60</v>
      </c>
      <c r="AI261" s="124"/>
      <c r="AJ261" s="124">
        <f t="shared" si="10"/>
        <v>18.404907975460123</v>
      </c>
      <c r="AK261" s="1" t="s">
        <v>66</v>
      </c>
      <c r="AL261" s="122">
        <v>4</v>
      </c>
      <c r="AM261" s="122">
        <v>1.5</v>
      </c>
      <c r="AN261" s="122"/>
      <c r="AO261" s="122"/>
      <c r="AP261" s="122"/>
      <c r="AQ261" s="122"/>
      <c r="AR261" s="122"/>
    </row>
    <row r="262" spans="1:44">
      <c r="A262" s="75">
        <v>261</v>
      </c>
      <c r="B262" s="112">
        <v>2010</v>
      </c>
      <c r="C262" s="118" t="s">
        <v>139</v>
      </c>
      <c r="D262" s="9" t="s">
        <v>108</v>
      </c>
      <c r="E262" s="9" t="s">
        <v>25</v>
      </c>
      <c r="F262" s="9" t="s">
        <v>35</v>
      </c>
      <c r="G262" s="9" t="s">
        <v>36</v>
      </c>
      <c r="H262" s="17">
        <v>40320</v>
      </c>
      <c r="I262" s="17">
        <v>40322</v>
      </c>
      <c r="J262" s="18">
        <v>1</v>
      </c>
      <c r="K262" s="122"/>
      <c r="L262" s="122"/>
      <c r="M262" s="122"/>
      <c r="N262" s="122"/>
      <c r="O262" s="122"/>
      <c r="P262" s="122"/>
      <c r="Q262" s="122"/>
      <c r="R262" s="122"/>
      <c r="S262" s="122">
        <f>AJ262*AM262*AN262*0.01</f>
        <v>680.98159509202458</v>
      </c>
      <c r="T262" s="122">
        <f>$S262*0.4089</f>
        <v>278.45337423312884</v>
      </c>
      <c r="U262" s="122">
        <f>$S262*0.0263</f>
        <v>17.909815950920247</v>
      </c>
      <c r="V262" s="123"/>
      <c r="W262" s="122"/>
      <c r="X262" s="122"/>
      <c r="Y262" s="122"/>
      <c r="Z262" s="122"/>
      <c r="AG262" s="124">
        <v>3.26</v>
      </c>
      <c r="AH262" s="1">
        <v>2</v>
      </c>
      <c r="AI262" s="1"/>
      <c r="AJ262" s="124">
        <f t="shared" si="10"/>
        <v>0.61349693251533743</v>
      </c>
      <c r="AK262" s="1" t="s">
        <v>67</v>
      </c>
      <c r="AL262" s="122"/>
      <c r="AM262" s="122">
        <v>3000</v>
      </c>
      <c r="AN262" s="122">
        <v>37</v>
      </c>
      <c r="AO262" s="122"/>
      <c r="AP262" s="122"/>
      <c r="AQ262" s="122"/>
      <c r="AR262" s="122"/>
    </row>
    <row r="263" spans="1:44">
      <c r="A263" s="75">
        <v>262</v>
      </c>
      <c r="B263" s="112">
        <v>2010</v>
      </c>
      <c r="C263" s="118" t="s">
        <v>139</v>
      </c>
      <c r="D263" s="9" t="s">
        <v>108</v>
      </c>
      <c r="E263" s="9" t="s">
        <v>17</v>
      </c>
      <c r="F263" s="9" t="s">
        <v>37</v>
      </c>
      <c r="G263" s="9" t="s">
        <v>48</v>
      </c>
      <c r="H263" s="17">
        <v>40325</v>
      </c>
      <c r="I263" s="17"/>
      <c r="J263" s="18"/>
      <c r="K263" s="122">
        <v>141.32</v>
      </c>
      <c r="L263" s="122">
        <v>52.1</v>
      </c>
      <c r="M263" s="122">
        <v>4.79</v>
      </c>
      <c r="N263" s="122">
        <v>371.25</v>
      </c>
      <c r="O263" s="122">
        <v>2.63</v>
      </c>
      <c r="P263" s="122">
        <f>AJ263*1000*AN263/100</f>
        <v>204.90797546012269</v>
      </c>
      <c r="Q263" s="122">
        <f>N263*P263/1000</f>
        <v>76.072085889570545</v>
      </c>
      <c r="R263" s="122">
        <f>K263*P263/1000</f>
        <v>28.957595092024537</v>
      </c>
      <c r="S263" s="122"/>
      <c r="T263" s="122">
        <f>$AJ263*1000*$AN263*0.01*$N263*0.001</f>
        <v>76.072085889570545</v>
      </c>
      <c r="U263" s="122">
        <f>$AJ263*1000*$AN263*0.01*$K263*0.001</f>
        <v>28.957595092024537</v>
      </c>
      <c r="V263" s="123"/>
      <c r="W263" s="122"/>
      <c r="X263" s="122"/>
      <c r="Y263" s="122"/>
      <c r="Z263" s="122"/>
      <c r="AG263" s="124">
        <v>3.26</v>
      </c>
      <c r="AH263" s="1">
        <v>40</v>
      </c>
      <c r="AI263" s="1"/>
      <c r="AJ263" s="124">
        <f t="shared" si="10"/>
        <v>12.269938650306749</v>
      </c>
      <c r="AK263" s="1" t="s">
        <v>5</v>
      </c>
      <c r="AL263" s="122"/>
      <c r="AM263" s="122"/>
      <c r="AN263" s="122">
        <v>1.67</v>
      </c>
      <c r="AO263" s="122">
        <v>13.496932515337424</v>
      </c>
      <c r="AP263" s="122">
        <v>8.0981595092024552</v>
      </c>
      <c r="AQ263" s="122">
        <v>24.539877300613497</v>
      </c>
      <c r="AR263" s="122">
        <v>1.2269938650306749</v>
      </c>
    </row>
    <row r="264" spans="1:44">
      <c r="A264" s="75">
        <v>263</v>
      </c>
      <c r="B264" s="112">
        <f>2010</f>
        <v>2010</v>
      </c>
      <c r="C264" s="118" t="s">
        <v>139</v>
      </c>
      <c r="D264" s="9" t="s">
        <v>108</v>
      </c>
      <c r="E264" s="9" t="s">
        <v>25</v>
      </c>
      <c r="F264" s="9" t="s">
        <v>29</v>
      </c>
      <c r="G264" s="9" t="s">
        <v>47</v>
      </c>
      <c r="H264" s="17">
        <v>40332</v>
      </c>
      <c r="I264" s="17">
        <v>40335</v>
      </c>
      <c r="J264" s="18">
        <v>2</v>
      </c>
      <c r="K264" s="122"/>
      <c r="L264" s="122"/>
      <c r="M264" s="122"/>
      <c r="N264" s="122"/>
      <c r="O264" s="122"/>
      <c r="P264" s="122"/>
      <c r="Q264" s="122"/>
      <c r="R264" s="122"/>
      <c r="S264" s="122">
        <f>AJ264*AM264*AL264</f>
        <v>220.85889570552149</v>
      </c>
      <c r="T264" s="122">
        <f>$S264*0.4089</f>
        <v>90.309202453987737</v>
      </c>
      <c r="U264" s="122">
        <f>$S264*0.0263</f>
        <v>5.8085889570552149</v>
      </c>
      <c r="V264" s="123"/>
      <c r="W264" s="122"/>
      <c r="X264" s="122"/>
      <c r="Y264" s="122"/>
      <c r="Z264" s="122"/>
      <c r="AG264" s="124">
        <v>3.26</v>
      </c>
      <c r="AH264" s="124">
        <v>160</v>
      </c>
      <c r="AI264" s="124"/>
      <c r="AJ264" s="124">
        <f t="shared" si="10"/>
        <v>49.079754601226995</v>
      </c>
      <c r="AK264" s="1" t="s">
        <v>66</v>
      </c>
      <c r="AL264" s="122">
        <v>3</v>
      </c>
      <c r="AM264" s="122">
        <v>1.5</v>
      </c>
      <c r="AN264" s="122"/>
      <c r="AO264" s="122"/>
      <c r="AP264" s="122"/>
      <c r="AQ264" s="122"/>
      <c r="AR264" s="122"/>
    </row>
    <row r="265" spans="1:44">
      <c r="A265" s="75">
        <v>264</v>
      </c>
      <c r="B265" s="112">
        <v>2010</v>
      </c>
      <c r="C265" s="118" t="s">
        <v>139</v>
      </c>
      <c r="D265" s="9" t="s">
        <v>108</v>
      </c>
      <c r="E265" s="9" t="s">
        <v>25</v>
      </c>
      <c r="F265" s="9" t="s">
        <v>29</v>
      </c>
      <c r="G265" s="34" t="s">
        <v>47</v>
      </c>
      <c r="H265" s="17">
        <v>40350</v>
      </c>
      <c r="I265" s="17">
        <v>40351</v>
      </c>
      <c r="J265" s="18">
        <v>2</v>
      </c>
      <c r="K265" s="122"/>
      <c r="L265" s="122"/>
      <c r="M265" s="122"/>
      <c r="N265" s="122"/>
      <c r="O265" s="122"/>
      <c r="P265" s="122"/>
      <c r="Q265" s="122"/>
      <c r="R265" s="122"/>
      <c r="S265" s="122">
        <f>AJ265*AM265*AL265</f>
        <v>73.619631901840492</v>
      </c>
      <c r="T265" s="122">
        <f>$S265*0.4089</f>
        <v>30.103067484662578</v>
      </c>
      <c r="U265" s="122">
        <f>$S265*0.0263</f>
        <v>1.9361963190184051</v>
      </c>
      <c r="V265" s="123"/>
      <c r="W265" s="122"/>
      <c r="X265" s="122"/>
      <c r="Y265" s="122"/>
      <c r="Z265" s="122"/>
      <c r="AG265" s="124">
        <v>3.26</v>
      </c>
      <c r="AH265" s="124">
        <v>160</v>
      </c>
      <c r="AI265" s="124"/>
      <c r="AJ265" s="124">
        <f t="shared" si="10"/>
        <v>49.079754601226995</v>
      </c>
      <c r="AK265" s="1" t="s">
        <v>66</v>
      </c>
      <c r="AL265" s="122">
        <v>1</v>
      </c>
      <c r="AM265" s="122">
        <v>1.5</v>
      </c>
      <c r="AN265" s="122"/>
      <c r="AO265" s="122"/>
      <c r="AP265" s="122"/>
      <c r="AQ265" s="122"/>
      <c r="AR265" s="122"/>
    </row>
    <row r="266" spans="1:44">
      <c r="A266" s="75">
        <v>265</v>
      </c>
      <c r="B266" s="112">
        <v>2010</v>
      </c>
      <c r="C266" s="118" t="s">
        <v>139</v>
      </c>
      <c r="D266" s="9" t="s">
        <v>108</v>
      </c>
      <c r="E266" s="9" t="s">
        <v>25</v>
      </c>
      <c r="F266" s="9" t="s">
        <v>35</v>
      </c>
      <c r="G266" s="9" t="s">
        <v>45</v>
      </c>
      <c r="H266" s="17">
        <v>40357</v>
      </c>
      <c r="I266" s="17">
        <v>40358</v>
      </c>
      <c r="J266" s="18">
        <v>2</v>
      </c>
      <c r="K266" s="122"/>
      <c r="L266" s="122"/>
      <c r="M266" s="122"/>
      <c r="N266" s="122"/>
      <c r="O266" s="122"/>
      <c r="P266" s="122"/>
      <c r="Q266" s="122"/>
      <c r="R266" s="122"/>
      <c r="S266" s="122">
        <f>AJ266*AM266*AN266*0.01</f>
        <v>559.2638036809816</v>
      </c>
      <c r="T266" s="122">
        <f>$S266*0.4089</f>
        <v>228.68296932515338</v>
      </c>
      <c r="U266" s="122">
        <f>$S266*0.0263</f>
        <v>14.708638036809816</v>
      </c>
      <c r="V266" s="123"/>
      <c r="W266" s="122"/>
      <c r="X266" s="122"/>
      <c r="Y266" s="122"/>
      <c r="Z266" s="122"/>
      <c r="AG266" s="124">
        <v>3.26</v>
      </c>
      <c r="AH266" s="1">
        <v>80</v>
      </c>
      <c r="AI266" s="1"/>
      <c r="AJ266" s="124">
        <f t="shared" si="10"/>
        <v>24.539877300613497</v>
      </c>
      <c r="AK266" s="136" t="s">
        <v>71</v>
      </c>
      <c r="AL266" s="122"/>
      <c r="AM266" s="122">
        <v>26.5</v>
      </c>
      <c r="AN266" s="122">
        <v>86</v>
      </c>
      <c r="AO266" s="122"/>
      <c r="AP266" s="122"/>
      <c r="AQ266" s="122"/>
      <c r="AR266" s="122"/>
    </row>
    <row r="267" spans="1:44">
      <c r="A267" s="75">
        <v>266</v>
      </c>
      <c r="B267" s="112">
        <v>2010</v>
      </c>
      <c r="C267" s="118" t="s">
        <v>139</v>
      </c>
      <c r="D267" s="9" t="s">
        <v>108</v>
      </c>
      <c r="E267" s="9" t="s">
        <v>17</v>
      </c>
      <c r="F267" s="9" t="s">
        <v>37</v>
      </c>
      <c r="G267" s="9" t="s">
        <v>48</v>
      </c>
      <c r="H267" s="17">
        <v>40365</v>
      </c>
      <c r="I267" s="17"/>
      <c r="J267" s="18"/>
      <c r="K267" s="122">
        <v>29.19</v>
      </c>
      <c r="L267" s="122">
        <v>7.94</v>
      </c>
      <c r="M267" s="122">
        <v>0.17</v>
      </c>
      <c r="N267" s="122">
        <v>487.88</v>
      </c>
      <c r="O267" s="122">
        <v>16.72</v>
      </c>
      <c r="P267" s="122">
        <f>AJ267*1000*AN267/100</f>
        <v>1474.1411042944787</v>
      </c>
      <c r="Q267" s="122">
        <f>N267*P267/1000</f>
        <v>719.20396196319018</v>
      </c>
      <c r="R267" s="122">
        <f>K267*P267/1000</f>
        <v>43.030178834355837</v>
      </c>
      <c r="S267" s="122"/>
      <c r="T267" s="122">
        <f>$AJ267*1000*$AN267*0.01*$N267*0.001</f>
        <v>719.2039619631903</v>
      </c>
      <c r="U267" s="122">
        <f>$AJ267*1000*$AN267*0.01*$K267*0.001</f>
        <v>43.030178834355837</v>
      </c>
      <c r="V267" s="123"/>
      <c r="W267" s="122"/>
      <c r="X267" s="122"/>
      <c r="Y267" s="122"/>
      <c r="Z267" s="122"/>
      <c r="AG267" s="124">
        <v>3.26</v>
      </c>
      <c r="AH267" s="1">
        <v>83</v>
      </c>
      <c r="AI267" s="1"/>
      <c r="AJ267" s="124">
        <f t="shared" si="10"/>
        <v>25.460122699386506</v>
      </c>
      <c r="AK267" s="1" t="s">
        <v>5</v>
      </c>
      <c r="AL267" s="122"/>
      <c r="AM267" s="122"/>
      <c r="AN267" s="122">
        <v>5.79</v>
      </c>
      <c r="AO267" s="122">
        <v>17.822085889570552</v>
      </c>
      <c r="AP267" s="122">
        <v>15.276073619631902</v>
      </c>
      <c r="AQ267" s="122">
        <v>66.196319018404921</v>
      </c>
      <c r="AR267" s="122">
        <v>2.5460122699386507</v>
      </c>
    </row>
    <row r="268" spans="1:44">
      <c r="A268" s="75">
        <v>267</v>
      </c>
      <c r="B268" s="112">
        <v>2010</v>
      </c>
      <c r="C268" s="118" t="s">
        <v>139</v>
      </c>
      <c r="D268" s="9" t="s">
        <v>108</v>
      </c>
      <c r="E268" s="9" t="s">
        <v>26</v>
      </c>
      <c r="F268" s="9" t="s">
        <v>33</v>
      </c>
      <c r="G268" s="9" t="s">
        <v>186</v>
      </c>
      <c r="H268" s="17">
        <v>40373</v>
      </c>
      <c r="I268" s="17"/>
      <c r="J268" s="18"/>
      <c r="K268" s="122"/>
      <c r="L268" s="122"/>
      <c r="M268" s="122"/>
      <c r="N268" s="122"/>
      <c r="O268" s="122"/>
      <c r="P268" s="122"/>
      <c r="Q268" s="122"/>
      <c r="R268" s="122"/>
      <c r="S268" s="122"/>
      <c r="T268" s="122"/>
      <c r="U268" s="122"/>
      <c r="V268" s="123"/>
      <c r="W268" s="122"/>
      <c r="X268" s="122"/>
      <c r="Y268" s="122"/>
      <c r="Z268" s="122"/>
      <c r="AG268" s="124">
        <v>3.26</v>
      </c>
      <c r="AH268" s="122"/>
      <c r="AI268" s="122"/>
      <c r="AJ268" s="124" t="str">
        <f t="shared" si="10"/>
        <v/>
      </c>
      <c r="AL268" s="122"/>
      <c r="AM268" s="122"/>
      <c r="AN268" s="122"/>
      <c r="AO268" s="122"/>
      <c r="AP268" s="122"/>
      <c r="AQ268" s="122"/>
      <c r="AR268" s="122"/>
    </row>
    <row r="269" spans="1:44">
      <c r="A269" s="75">
        <v>268</v>
      </c>
      <c r="B269" s="112">
        <v>2010</v>
      </c>
      <c r="C269" s="118" t="s">
        <v>139</v>
      </c>
      <c r="D269" s="9" t="s">
        <v>108</v>
      </c>
      <c r="E269" s="9" t="s">
        <v>25</v>
      </c>
      <c r="F269" s="9" t="s">
        <v>35</v>
      </c>
      <c r="G269" s="33" t="s">
        <v>43</v>
      </c>
      <c r="H269" s="17">
        <v>40410</v>
      </c>
      <c r="I269" s="17">
        <v>40412</v>
      </c>
      <c r="J269" s="18">
        <v>3</v>
      </c>
      <c r="K269" s="122"/>
      <c r="L269" s="122"/>
      <c r="M269" s="122"/>
      <c r="N269" s="122"/>
      <c r="O269" s="122"/>
      <c r="P269" s="122"/>
      <c r="Q269" s="122"/>
      <c r="R269" s="122"/>
      <c r="S269" s="122">
        <f>AJ269*AM269*AN269*0.01</f>
        <v>1288.3435582822087</v>
      </c>
      <c r="T269" s="122">
        <f>$S269*0.4089</f>
        <v>526.80368098159511</v>
      </c>
      <c r="U269" s="122">
        <f>$S269*0.0263</f>
        <v>33.883435582822088</v>
      </c>
      <c r="V269" s="123"/>
      <c r="W269" s="122"/>
      <c r="X269" s="122"/>
      <c r="Y269" s="122"/>
      <c r="Z269" s="122"/>
      <c r="AG269" s="124">
        <v>3.26</v>
      </c>
      <c r="AH269" s="1">
        <v>4</v>
      </c>
      <c r="AI269" s="1"/>
      <c r="AJ269" s="124">
        <f t="shared" si="10"/>
        <v>1.2269938650306749</v>
      </c>
      <c r="AK269" s="1" t="s">
        <v>67</v>
      </c>
      <c r="AL269" s="122"/>
      <c r="AM269" s="122">
        <v>1500</v>
      </c>
      <c r="AN269" s="122">
        <v>70</v>
      </c>
      <c r="AO269" s="122"/>
      <c r="AP269" s="122"/>
      <c r="AQ269" s="122"/>
      <c r="AR269" s="122"/>
    </row>
    <row r="270" spans="1:44">
      <c r="A270" s="75">
        <v>269</v>
      </c>
      <c r="B270" s="112">
        <v>2010</v>
      </c>
      <c r="C270" s="118" t="s">
        <v>139</v>
      </c>
      <c r="D270" s="9" t="s">
        <v>108</v>
      </c>
      <c r="E270" s="9" t="s">
        <v>17</v>
      </c>
      <c r="F270" s="9" t="s">
        <v>37</v>
      </c>
      <c r="G270" s="9" t="s">
        <v>48</v>
      </c>
      <c r="H270" s="17">
        <v>40415</v>
      </c>
      <c r="I270" s="17"/>
      <c r="J270" s="18"/>
      <c r="K270" s="122">
        <v>67.88</v>
      </c>
      <c r="L270" s="122">
        <v>30.66</v>
      </c>
      <c r="M270" s="122">
        <v>0.73</v>
      </c>
      <c r="N270" s="122">
        <v>374.84</v>
      </c>
      <c r="O270" s="122">
        <v>5.52</v>
      </c>
      <c r="P270" s="122">
        <f>AJ270*1000*AN270/100</f>
        <v>382.42331288343564</v>
      </c>
      <c r="Q270" s="122">
        <f>N270*P270/1000</f>
        <v>143.34755460122702</v>
      </c>
      <c r="R270" s="122">
        <f>K270*P270/1000</f>
        <v>25.958894478527611</v>
      </c>
      <c r="S270" s="122"/>
      <c r="T270" s="122">
        <f>$AJ270*1000*$AN270*0.01*$N270*0.001</f>
        <v>143.34755460122702</v>
      </c>
      <c r="U270" s="122">
        <f>$AJ270*1000*$AN270*0.01*$K270*0.001</f>
        <v>25.958894478527611</v>
      </c>
      <c r="V270" s="123"/>
      <c r="W270" s="122"/>
      <c r="X270" s="122"/>
      <c r="Y270" s="122"/>
      <c r="Z270" s="122"/>
      <c r="AG270" s="124">
        <v>3.26</v>
      </c>
      <c r="AH270" s="1">
        <v>91</v>
      </c>
      <c r="AI270" s="1"/>
      <c r="AJ270" s="124">
        <f t="shared" si="10"/>
        <v>27.914110429447856</v>
      </c>
      <c r="AK270" s="1" t="s">
        <v>5</v>
      </c>
      <c r="AL270" s="122"/>
      <c r="AM270" s="122"/>
      <c r="AN270" s="122">
        <v>1.37</v>
      </c>
      <c r="AO270" s="122">
        <v>30.705521472392643</v>
      </c>
      <c r="AP270" s="122">
        <v>18.423312883435585</v>
      </c>
      <c r="AQ270" s="122">
        <v>55.828220858895712</v>
      </c>
      <c r="AR270" s="122">
        <v>2.7914110429447851</v>
      </c>
    </row>
    <row r="271" spans="1:44">
      <c r="A271" s="75">
        <v>270</v>
      </c>
      <c r="B271" s="112">
        <v>2010</v>
      </c>
      <c r="C271" s="118" t="s">
        <v>139</v>
      </c>
      <c r="D271" s="9" t="s">
        <v>108</v>
      </c>
      <c r="E271" s="9" t="s">
        <v>25</v>
      </c>
      <c r="F271" s="9" t="s">
        <v>29</v>
      </c>
      <c r="G271" s="9" t="s">
        <v>47</v>
      </c>
      <c r="H271" s="17">
        <v>40451</v>
      </c>
      <c r="I271" s="17">
        <v>40452</v>
      </c>
      <c r="J271" s="18">
        <v>4</v>
      </c>
      <c r="K271" s="122"/>
      <c r="L271" s="122"/>
      <c r="M271" s="122"/>
      <c r="N271" s="122"/>
      <c r="O271" s="122"/>
      <c r="P271" s="122"/>
      <c r="Q271" s="122"/>
      <c r="R271" s="122"/>
      <c r="S271" s="122">
        <f>AJ271*AM271*AL271</f>
        <v>46.012269938650306</v>
      </c>
      <c r="T271" s="122">
        <f>$S271*0.4089</f>
        <v>18.814417177914109</v>
      </c>
      <c r="U271" s="122">
        <f>$S271*0.0263</f>
        <v>1.2101226993865031</v>
      </c>
      <c r="V271" s="123"/>
      <c r="W271" s="122"/>
      <c r="X271" s="122"/>
      <c r="Y271" s="122"/>
      <c r="Z271" s="122"/>
      <c r="AG271" s="124">
        <v>3.26</v>
      </c>
      <c r="AH271" s="124">
        <v>100</v>
      </c>
      <c r="AI271" s="124"/>
      <c r="AJ271" s="124">
        <f t="shared" si="10"/>
        <v>30.674846625766872</v>
      </c>
      <c r="AK271" s="1" t="s">
        <v>66</v>
      </c>
      <c r="AL271" s="122">
        <v>1</v>
      </c>
      <c r="AM271" s="122">
        <v>1.5</v>
      </c>
      <c r="AN271" s="122"/>
      <c r="AO271" s="122"/>
      <c r="AP271" s="122"/>
      <c r="AQ271" s="122"/>
      <c r="AR271" s="122"/>
    </row>
    <row r="272" spans="1:44">
      <c r="A272" s="75">
        <v>271</v>
      </c>
      <c r="B272" s="112">
        <v>2010</v>
      </c>
      <c r="C272" s="118" t="s">
        <v>139</v>
      </c>
      <c r="D272" s="9" t="s">
        <v>108</v>
      </c>
      <c r="E272" s="9" t="s">
        <v>25</v>
      </c>
      <c r="F272" s="9" t="s">
        <v>35</v>
      </c>
      <c r="G272" s="9" t="s">
        <v>36</v>
      </c>
      <c r="H272" s="17">
        <v>40459</v>
      </c>
      <c r="I272" s="17">
        <v>40463</v>
      </c>
      <c r="J272" s="18">
        <v>4</v>
      </c>
      <c r="K272" s="122"/>
      <c r="L272" s="122"/>
      <c r="M272" s="122"/>
      <c r="N272" s="122"/>
      <c r="O272" s="122"/>
      <c r="P272" s="122"/>
      <c r="Q272" s="122"/>
      <c r="R272" s="122"/>
      <c r="S272" s="122">
        <f>AJ272*AM272*AN272*0.01</f>
        <v>558.40490797546011</v>
      </c>
      <c r="T272" s="122">
        <f>$S272*0.4089</f>
        <v>228.33176687116563</v>
      </c>
      <c r="U272" s="122">
        <f>$S272*0.0263</f>
        <v>14.686049079754602</v>
      </c>
      <c r="V272" s="123"/>
      <c r="W272" s="122"/>
      <c r="X272" s="122"/>
      <c r="Y272" s="122"/>
      <c r="Z272" s="122"/>
      <c r="AG272" s="124">
        <v>3.26</v>
      </c>
      <c r="AH272" s="1">
        <v>8</v>
      </c>
      <c r="AI272" s="1"/>
      <c r="AJ272" s="124">
        <f t="shared" si="10"/>
        <v>2.4539877300613497</v>
      </c>
      <c r="AK272" s="137" t="s">
        <v>70</v>
      </c>
      <c r="AL272" s="122"/>
      <c r="AM272" s="122">
        <v>615</v>
      </c>
      <c r="AN272" s="122">
        <v>37</v>
      </c>
      <c r="AO272" s="122"/>
      <c r="AP272" s="122"/>
      <c r="AQ272" s="122"/>
      <c r="AR272" s="122"/>
    </row>
    <row r="273" spans="1:44">
      <c r="A273" s="75">
        <v>272</v>
      </c>
      <c r="B273" s="112">
        <v>2010</v>
      </c>
      <c r="C273" s="118" t="s">
        <v>139</v>
      </c>
      <c r="D273" s="9" t="s">
        <v>108</v>
      </c>
      <c r="E273" s="9" t="s">
        <v>17</v>
      </c>
      <c r="F273" s="9" t="s">
        <v>37</v>
      </c>
      <c r="G273" s="9" t="s">
        <v>48</v>
      </c>
      <c r="H273" s="17">
        <v>40479</v>
      </c>
      <c r="I273" s="17"/>
      <c r="J273" s="18"/>
      <c r="K273" s="122">
        <v>77.25</v>
      </c>
      <c r="L273" s="122">
        <v>30.69</v>
      </c>
      <c r="M273" s="122">
        <v>1.06</v>
      </c>
      <c r="N273" s="122">
        <v>400.06</v>
      </c>
      <c r="O273" s="122">
        <v>5.18</v>
      </c>
      <c r="P273" s="122">
        <f>AJ273*1000*AN273/100</f>
        <v>765.27607361963192</v>
      </c>
      <c r="Q273" s="122">
        <f>N273*P273/1000</f>
        <v>306.15634601226998</v>
      </c>
      <c r="R273" s="122">
        <f>K273*P273/1000</f>
        <v>59.117576687116568</v>
      </c>
      <c r="S273" s="122"/>
      <c r="T273" s="122">
        <f>$AJ273*1000*$AN273*0.01*$N273*0.001</f>
        <v>306.15634601226998</v>
      </c>
      <c r="U273" s="122">
        <f>$AJ273*1000*$AN273*0.01*$K273*0.001</f>
        <v>59.117576687116568</v>
      </c>
      <c r="V273" s="123"/>
      <c r="W273" s="122"/>
      <c r="X273" s="122"/>
      <c r="Y273" s="122"/>
      <c r="Z273" s="122"/>
      <c r="AG273" s="124">
        <v>3.26</v>
      </c>
      <c r="AH273" s="1">
        <v>132</v>
      </c>
      <c r="AI273" s="1"/>
      <c r="AJ273" s="124">
        <f t="shared" si="10"/>
        <v>40.490797546012274</v>
      </c>
      <c r="AK273" s="1" t="s">
        <v>5</v>
      </c>
      <c r="AL273" s="122"/>
      <c r="AM273" s="122"/>
      <c r="AN273" s="122">
        <v>1.89</v>
      </c>
      <c r="AO273" s="122">
        <v>44.539877300613504</v>
      </c>
      <c r="AP273" s="122">
        <v>26.723926380368102</v>
      </c>
      <c r="AQ273" s="122">
        <v>80.981595092024548</v>
      </c>
      <c r="AR273" s="122">
        <v>4.0490797546012276</v>
      </c>
    </row>
    <row r="274" spans="1:44">
      <c r="A274" s="75">
        <v>273</v>
      </c>
      <c r="B274" s="111">
        <v>2011</v>
      </c>
      <c r="C274" s="117" t="s">
        <v>138</v>
      </c>
      <c r="D274" s="9" t="s">
        <v>108</v>
      </c>
      <c r="E274" s="9" t="s">
        <v>17</v>
      </c>
      <c r="F274" s="9" t="s">
        <v>37</v>
      </c>
      <c r="G274" s="9" t="s">
        <v>48</v>
      </c>
      <c r="H274" s="17">
        <v>40612</v>
      </c>
      <c r="I274" s="17"/>
      <c r="J274" s="18"/>
      <c r="K274" s="122">
        <v>72.08</v>
      </c>
      <c r="L274" s="122">
        <v>35.700000000000003</v>
      </c>
      <c r="M274" s="122" t="s">
        <v>62</v>
      </c>
      <c r="N274" s="122">
        <v>360.58</v>
      </c>
      <c r="O274" s="122">
        <v>5</v>
      </c>
      <c r="P274" s="122">
        <f>AJ274*1000*AN274/100</f>
        <v>125.04273504273506</v>
      </c>
      <c r="Q274" s="122">
        <f>N274*P274/1000</f>
        <v>45.087909401709403</v>
      </c>
      <c r="R274" s="122">
        <f>K274*P274/1000</f>
        <v>9.0130803418803431</v>
      </c>
      <c r="S274" s="122"/>
      <c r="T274" s="122">
        <f>$AJ274*1000*$AN274*0.01*$N274*0.001</f>
        <v>45.087909401709403</v>
      </c>
      <c r="U274" s="122">
        <f>$AJ274*1000*$AN274*0.01*$K274*0.001</f>
        <v>9.0130803418803431</v>
      </c>
      <c r="V274" s="123"/>
      <c r="W274" s="122"/>
      <c r="X274" s="122"/>
      <c r="Y274" s="122"/>
      <c r="Z274" s="122"/>
      <c r="AG274" s="124">
        <v>1.5</v>
      </c>
      <c r="AH274" s="122">
        <v>38</v>
      </c>
      <c r="AI274" s="133" t="s">
        <v>198</v>
      </c>
      <c r="AJ274" s="124">
        <f>AH274/4.68</f>
        <v>8.119658119658121</v>
      </c>
      <c r="AK274" s="1" t="s">
        <v>5</v>
      </c>
      <c r="AL274" s="122"/>
      <c r="AM274" s="122"/>
      <c r="AN274" s="122">
        <v>1.54</v>
      </c>
      <c r="AO274" s="122">
        <v>45.42266845703125</v>
      </c>
      <c r="AP274" s="122">
        <v>34.453334808349609</v>
      </c>
      <c r="AQ274" s="122">
        <v>152.50666809082031</v>
      </c>
      <c r="AR274" s="122">
        <v>9.6266660690307617</v>
      </c>
    </row>
    <row r="275" spans="1:44">
      <c r="A275" s="75">
        <v>274</v>
      </c>
      <c r="B275" s="111">
        <v>2011</v>
      </c>
      <c r="C275" s="117" t="s">
        <v>138</v>
      </c>
      <c r="D275" s="9" t="s">
        <v>108</v>
      </c>
      <c r="E275" s="9" t="s">
        <v>25</v>
      </c>
      <c r="F275" s="9" t="s">
        <v>35</v>
      </c>
      <c r="G275" s="9" t="s">
        <v>36</v>
      </c>
      <c r="H275" s="17">
        <v>40652</v>
      </c>
      <c r="I275" s="17"/>
      <c r="J275" s="18">
        <v>1</v>
      </c>
      <c r="K275" s="122"/>
      <c r="L275" s="122"/>
      <c r="M275" s="122"/>
      <c r="N275" s="122"/>
      <c r="O275" s="122"/>
      <c r="P275" s="122"/>
      <c r="Q275" s="122"/>
      <c r="R275" s="122"/>
      <c r="S275" s="122">
        <f>AJ275*AN275</f>
        <v>1297.96</v>
      </c>
      <c r="T275" s="122">
        <f>$S275*0.4089</f>
        <v>530.73584400000004</v>
      </c>
      <c r="U275" s="122">
        <f>$S275*0.0263</f>
        <v>34.136347999999998</v>
      </c>
      <c r="V275" s="123"/>
      <c r="W275" s="122"/>
      <c r="X275" s="122"/>
      <c r="Y275" s="122"/>
      <c r="Z275" s="122"/>
      <c r="AG275" s="124">
        <v>1.5</v>
      </c>
      <c r="AH275" s="122">
        <v>52.62</v>
      </c>
      <c r="AI275" s="123"/>
      <c r="AJ275" s="122">
        <v>35.08</v>
      </c>
      <c r="AK275" s="1" t="s">
        <v>83</v>
      </c>
      <c r="AL275" s="122"/>
      <c r="AM275" s="122"/>
      <c r="AN275" s="122">
        <v>37</v>
      </c>
      <c r="AO275" s="122"/>
      <c r="AP275" s="122"/>
      <c r="AQ275" s="122"/>
      <c r="AR275" s="122"/>
    </row>
    <row r="276" spans="1:44">
      <c r="A276" s="75">
        <v>275</v>
      </c>
      <c r="B276" s="111">
        <v>2011</v>
      </c>
      <c r="C276" s="117" t="s">
        <v>138</v>
      </c>
      <c r="D276" s="9" t="s">
        <v>108</v>
      </c>
      <c r="E276" s="9" t="s">
        <v>17</v>
      </c>
      <c r="F276" s="9" t="s">
        <v>37</v>
      </c>
      <c r="G276" s="9" t="s">
        <v>48</v>
      </c>
      <c r="H276" s="17">
        <v>40661</v>
      </c>
      <c r="I276" s="17"/>
      <c r="J276" s="18"/>
      <c r="K276" s="122">
        <v>63.07</v>
      </c>
      <c r="L276" s="122">
        <v>26.7</v>
      </c>
      <c r="M276" s="122">
        <v>3.98</v>
      </c>
      <c r="N276" s="122">
        <v>383.71</v>
      </c>
      <c r="O276" s="122">
        <v>6.08</v>
      </c>
      <c r="P276" s="122">
        <f>AJ276*1000*AN276/100</f>
        <v>152.15726495726497</v>
      </c>
      <c r="Q276" s="122">
        <f>N276*P276/1000</f>
        <v>58.384264136752137</v>
      </c>
      <c r="R276" s="122">
        <f>K276*P276/1000</f>
        <v>9.5965587008547004</v>
      </c>
      <c r="S276" s="122"/>
      <c r="T276" s="122">
        <f>$AJ276*1000*$AN276*0.01*$N276*0.001</f>
        <v>58.384264136752137</v>
      </c>
      <c r="U276" s="122">
        <f>$AJ276*1000*$AN276*0.01*$K276*0.001</f>
        <v>9.5965587008547004</v>
      </c>
      <c r="V276" s="123"/>
      <c r="W276" s="122"/>
      <c r="X276" s="122"/>
      <c r="Y276" s="122"/>
      <c r="Z276" s="122"/>
      <c r="AG276" s="124">
        <v>1.5</v>
      </c>
      <c r="AH276" s="122">
        <v>40.46</v>
      </c>
      <c r="AI276" s="133" t="s">
        <v>198</v>
      </c>
      <c r="AJ276" s="124">
        <f>AH276/4.68</f>
        <v>8.6452991452991466</v>
      </c>
      <c r="AK276" s="1" t="s">
        <v>5</v>
      </c>
      <c r="AL276" s="122"/>
      <c r="AM276" s="122"/>
      <c r="AN276" s="122">
        <v>1.76</v>
      </c>
      <c r="AO276" s="122">
        <v>34.896751403808594</v>
      </c>
      <c r="AP276" s="122">
        <v>33.716667175292969</v>
      </c>
      <c r="AQ276" s="122">
        <v>75.52532958984375</v>
      </c>
      <c r="AR276" s="122">
        <v>6.7433333396911621</v>
      </c>
    </row>
    <row r="277" spans="1:44">
      <c r="A277" s="75">
        <v>276</v>
      </c>
      <c r="B277" s="111">
        <v>2011</v>
      </c>
      <c r="C277" s="117" t="s">
        <v>138</v>
      </c>
      <c r="D277" s="9" t="s">
        <v>108</v>
      </c>
      <c r="E277" s="9" t="s">
        <v>25</v>
      </c>
      <c r="F277" s="9" t="s">
        <v>29</v>
      </c>
      <c r="G277" s="9" t="s">
        <v>47</v>
      </c>
      <c r="H277" s="17">
        <v>40683</v>
      </c>
      <c r="I277" s="17">
        <v>40685</v>
      </c>
      <c r="J277" s="18"/>
      <c r="K277" s="122"/>
      <c r="L277" s="122"/>
      <c r="M277" s="122"/>
      <c r="N277" s="122"/>
      <c r="O277" s="122"/>
      <c r="P277" s="122"/>
      <c r="Q277" s="122"/>
      <c r="R277" s="122"/>
      <c r="S277" s="122">
        <f>AJ277*AM277*AL277</f>
        <v>36.734693877551017</v>
      </c>
      <c r="T277" s="122">
        <f>$S277*0.4089</f>
        <v>15.02081632653061</v>
      </c>
      <c r="U277" s="122">
        <f>$S277*0.0263</f>
        <v>0.96612244897959176</v>
      </c>
      <c r="V277" s="123"/>
      <c r="W277" s="122"/>
      <c r="X277" s="122"/>
      <c r="Y277" s="122"/>
      <c r="Z277" s="122"/>
      <c r="AG277" s="124">
        <v>1.5</v>
      </c>
      <c r="AH277" s="124">
        <v>60</v>
      </c>
      <c r="AI277" s="133" t="s">
        <v>198</v>
      </c>
      <c r="AJ277" s="124">
        <f>AH277/4.9</f>
        <v>12.244897959183673</v>
      </c>
      <c r="AK277" s="1" t="s">
        <v>66</v>
      </c>
      <c r="AL277" s="122">
        <v>2</v>
      </c>
      <c r="AM277" s="122">
        <v>1.5</v>
      </c>
      <c r="AN277" s="122"/>
      <c r="AO277" s="122"/>
      <c r="AP277" s="122"/>
      <c r="AQ277" s="122"/>
      <c r="AR277" s="122"/>
    </row>
    <row r="278" spans="1:44">
      <c r="A278" s="75">
        <v>277</v>
      </c>
      <c r="B278" s="111">
        <v>2011</v>
      </c>
      <c r="C278" s="117" t="s">
        <v>138</v>
      </c>
      <c r="D278" s="9" t="s">
        <v>108</v>
      </c>
      <c r="E278" s="9" t="s">
        <v>25</v>
      </c>
      <c r="F278" s="9" t="s">
        <v>35</v>
      </c>
      <c r="G278" s="9" t="s">
        <v>36</v>
      </c>
      <c r="H278" s="17">
        <v>40709</v>
      </c>
      <c r="I278" s="17"/>
      <c r="J278" s="18">
        <v>2</v>
      </c>
      <c r="K278" s="122"/>
      <c r="L278" s="122"/>
      <c r="M278" s="122"/>
      <c r="N278" s="122"/>
      <c r="O278" s="122"/>
      <c r="P278" s="122"/>
      <c r="Q278" s="122"/>
      <c r="R278" s="122"/>
      <c r="S278" s="122">
        <f>AJ278*AN278</f>
        <v>792.78666666666663</v>
      </c>
      <c r="T278" s="122">
        <f>$S278*0.4089</f>
        <v>324.17046799999997</v>
      </c>
      <c r="U278" s="122">
        <f>$S278*0.0263</f>
        <v>20.850289333333333</v>
      </c>
      <c r="V278" s="123"/>
      <c r="W278" s="122"/>
      <c r="X278" s="122"/>
      <c r="Y278" s="122"/>
      <c r="Z278" s="122"/>
      <c r="AG278" s="124">
        <v>1.5</v>
      </c>
      <c r="AH278" s="122">
        <v>32.14</v>
      </c>
      <c r="AI278" s="123"/>
      <c r="AJ278" s="122">
        <v>21.426666666666666</v>
      </c>
      <c r="AK278" s="1" t="s">
        <v>83</v>
      </c>
      <c r="AL278" s="122"/>
      <c r="AM278" s="122"/>
      <c r="AN278" s="122">
        <v>37</v>
      </c>
      <c r="AO278" s="122"/>
      <c r="AP278" s="122"/>
      <c r="AQ278" s="122"/>
      <c r="AR278" s="122"/>
    </row>
    <row r="279" spans="1:44">
      <c r="A279" s="75">
        <v>278</v>
      </c>
      <c r="B279" s="111">
        <v>2011</v>
      </c>
      <c r="C279" s="117" t="s">
        <v>138</v>
      </c>
      <c r="D279" s="9" t="s">
        <v>108</v>
      </c>
      <c r="E279" s="9" t="s">
        <v>17</v>
      </c>
      <c r="F279" s="9" t="s">
        <v>37</v>
      </c>
      <c r="G279" s="9" t="s">
        <v>48</v>
      </c>
      <c r="H279" s="17">
        <v>40716</v>
      </c>
      <c r="I279" s="17"/>
      <c r="J279" s="18"/>
      <c r="K279" s="122">
        <v>89.69</v>
      </c>
      <c r="L279" s="122">
        <v>52.6</v>
      </c>
      <c r="M279" s="122" t="s">
        <v>62</v>
      </c>
      <c r="N279" s="122">
        <v>382.96</v>
      </c>
      <c r="O279" s="122">
        <v>4.2699999999999996</v>
      </c>
      <c r="P279" s="122">
        <f>AJ279*1000*AN279/100</f>
        <v>136.42179487179487</v>
      </c>
      <c r="Q279" s="122">
        <f>N279*P279/1000</f>
        <v>52.244090564102564</v>
      </c>
      <c r="R279" s="122">
        <f>K279*P279/1000</f>
        <v>12.235670782051281</v>
      </c>
      <c r="S279" s="122"/>
      <c r="T279" s="122">
        <f>$AJ279*1000*$AN279*0.01*$N279*0.001</f>
        <v>52.244090564102564</v>
      </c>
      <c r="U279" s="122">
        <f>$AJ279*1000*$AN279*0.01*$K279*0.001</f>
        <v>12.235670782051283</v>
      </c>
      <c r="V279" s="123"/>
      <c r="W279" s="122"/>
      <c r="X279" s="122"/>
      <c r="Y279" s="122"/>
      <c r="Z279" s="122"/>
      <c r="AG279" s="124">
        <v>1.5</v>
      </c>
      <c r="AH279" s="122">
        <v>32.909999999999997</v>
      </c>
      <c r="AI279" s="133" t="s">
        <v>198</v>
      </c>
      <c r="AJ279" s="124">
        <f>AH279/4.68</f>
        <v>7.0320512820512819</v>
      </c>
      <c r="AK279" s="1" t="s">
        <v>5</v>
      </c>
      <c r="AL279" s="122"/>
      <c r="AM279" s="122"/>
      <c r="AN279" s="122">
        <v>1.94</v>
      </c>
      <c r="AO279" s="122">
        <v>39.338420867919922</v>
      </c>
      <c r="AP279" s="122">
        <v>29.838399887084961</v>
      </c>
      <c r="AQ279" s="122">
        <v>132.07879638671875</v>
      </c>
      <c r="AR279" s="122">
        <v>8.3372001647949219</v>
      </c>
    </row>
    <row r="280" spans="1:44">
      <c r="A280" s="75">
        <v>279</v>
      </c>
      <c r="B280" s="111">
        <v>2011</v>
      </c>
      <c r="C280" s="117" t="s">
        <v>138</v>
      </c>
      <c r="D280" s="9" t="s">
        <v>108</v>
      </c>
      <c r="E280" s="9" t="s">
        <v>25</v>
      </c>
      <c r="F280" s="9" t="s">
        <v>35</v>
      </c>
      <c r="G280" s="9" t="s">
        <v>36</v>
      </c>
      <c r="H280" s="17">
        <v>40736</v>
      </c>
      <c r="I280" s="17"/>
      <c r="J280" s="18">
        <v>3</v>
      </c>
      <c r="K280" s="122"/>
      <c r="L280" s="122"/>
      <c r="M280" s="122"/>
      <c r="N280" s="122"/>
      <c r="O280" s="122"/>
      <c r="P280" s="122"/>
      <c r="Q280" s="122"/>
      <c r="R280" s="122"/>
      <c r="S280" s="122">
        <f>AJ280*AN280</f>
        <v>2220</v>
      </c>
      <c r="T280" s="122">
        <f>$S280*0.4089</f>
        <v>907.75799999999992</v>
      </c>
      <c r="U280" s="122">
        <f>$S280*0.0263</f>
        <v>58.386000000000003</v>
      </c>
      <c r="V280" s="123"/>
      <c r="W280" s="122"/>
      <c r="X280" s="122"/>
      <c r="Y280" s="122"/>
      <c r="Z280" s="122"/>
      <c r="AG280" s="124">
        <v>1.5</v>
      </c>
      <c r="AH280" s="122">
        <v>90</v>
      </c>
      <c r="AI280" s="123"/>
      <c r="AJ280" s="122">
        <v>60</v>
      </c>
      <c r="AK280" s="1" t="s">
        <v>83</v>
      </c>
      <c r="AL280" s="122"/>
      <c r="AM280" s="122"/>
      <c r="AN280" s="122">
        <v>37</v>
      </c>
      <c r="AO280" s="122"/>
      <c r="AP280" s="122"/>
      <c r="AQ280" s="122"/>
      <c r="AR280" s="122"/>
    </row>
    <row r="281" spans="1:44">
      <c r="A281" s="75">
        <v>280</v>
      </c>
      <c r="B281" s="111">
        <v>2011</v>
      </c>
      <c r="C281" s="117" t="s">
        <v>138</v>
      </c>
      <c r="D281" s="9" t="s">
        <v>108</v>
      </c>
      <c r="E281" s="9" t="s">
        <v>17</v>
      </c>
      <c r="F281" s="9" t="s">
        <v>37</v>
      </c>
      <c r="G281" s="9" t="s">
        <v>48</v>
      </c>
      <c r="H281" s="17">
        <v>40742</v>
      </c>
      <c r="I281" s="17"/>
      <c r="J281" s="18"/>
      <c r="K281" s="122">
        <v>84.53</v>
      </c>
      <c r="L281" s="122">
        <v>43.5</v>
      </c>
      <c r="M281" s="122" t="s">
        <v>62</v>
      </c>
      <c r="N281" s="122">
        <v>412.87</v>
      </c>
      <c r="O281" s="122">
        <v>4.88</v>
      </c>
      <c r="P281" s="122">
        <f>AJ281*1000*AN281/100</f>
        <v>242.8935897435897</v>
      </c>
      <c r="Q281" s="122">
        <f>N281*P281/1000</f>
        <v>100.28347639743588</v>
      </c>
      <c r="R281" s="122">
        <f>K281*P281/1000</f>
        <v>20.53179514102564</v>
      </c>
      <c r="S281" s="122"/>
      <c r="T281" s="122">
        <f>$AJ281*1000*$AN281*0.01*$N281*0.001</f>
        <v>100.28347639743588</v>
      </c>
      <c r="U281" s="122">
        <f>$AJ281*1000*$AN281*0.01*$K281*0.001</f>
        <v>20.53179514102564</v>
      </c>
      <c r="V281" s="123"/>
      <c r="W281" s="122"/>
      <c r="X281" s="122"/>
      <c r="Y281" s="122"/>
      <c r="Z281" s="122"/>
      <c r="AG281" s="124">
        <v>1.5</v>
      </c>
      <c r="AH281" s="122">
        <v>40.89</v>
      </c>
      <c r="AI281" s="133" t="s">
        <v>198</v>
      </c>
      <c r="AJ281" s="124">
        <f>AH281/4.68</f>
        <v>8.7371794871794872</v>
      </c>
      <c r="AK281" s="1" t="s">
        <v>5</v>
      </c>
      <c r="AL281" s="122"/>
      <c r="AM281" s="122"/>
      <c r="AN281" s="122">
        <v>2.78</v>
      </c>
      <c r="AO281" s="122">
        <v>48.877182006835938</v>
      </c>
      <c r="AP281" s="122">
        <v>37.073600769042969</v>
      </c>
      <c r="AQ281" s="122">
        <v>164.10520935058594</v>
      </c>
      <c r="AR281" s="122">
        <v>10.358799934387207</v>
      </c>
    </row>
    <row r="282" spans="1:44">
      <c r="A282" s="75">
        <v>281</v>
      </c>
      <c r="B282" s="111">
        <v>2011</v>
      </c>
      <c r="C282" s="117" t="s">
        <v>138</v>
      </c>
      <c r="D282" s="9" t="s">
        <v>108</v>
      </c>
      <c r="E282" s="9" t="s">
        <v>25</v>
      </c>
      <c r="F282" s="9" t="s">
        <v>35</v>
      </c>
      <c r="G282" s="33" t="s">
        <v>43</v>
      </c>
      <c r="H282" s="17">
        <v>40779</v>
      </c>
      <c r="I282" s="17"/>
      <c r="J282" s="18">
        <v>4</v>
      </c>
      <c r="K282" s="122"/>
      <c r="L282" s="122"/>
      <c r="M282" s="122"/>
      <c r="N282" s="122"/>
      <c r="O282" s="122"/>
      <c r="P282" s="122"/>
      <c r="Q282" s="122"/>
      <c r="R282" s="122"/>
      <c r="S282" s="122">
        <f>AJ282*AN282</f>
        <v>1089.2</v>
      </c>
      <c r="T282" s="122">
        <f>$S282*0.4089</f>
        <v>445.37387999999999</v>
      </c>
      <c r="U282" s="122">
        <f>$S282*0.0263</f>
        <v>28.645960000000002</v>
      </c>
      <c r="V282" s="123"/>
      <c r="W282" s="122"/>
      <c r="X282" s="122"/>
      <c r="Y282" s="122"/>
      <c r="Z282" s="122"/>
      <c r="AG282" s="124">
        <v>1.5</v>
      </c>
      <c r="AH282" s="122">
        <v>23.34</v>
      </c>
      <c r="AI282" s="123"/>
      <c r="AJ282" s="122">
        <v>15.56</v>
      </c>
      <c r="AK282" s="1" t="s">
        <v>83</v>
      </c>
      <c r="AL282" s="122"/>
      <c r="AM282" s="122"/>
      <c r="AN282" s="122">
        <v>70</v>
      </c>
      <c r="AO282" s="122"/>
      <c r="AP282" s="122"/>
      <c r="AQ282" s="122"/>
      <c r="AR282" s="122"/>
    </row>
    <row r="283" spans="1:44">
      <c r="A283" s="75">
        <v>282</v>
      </c>
      <c r="B283" s="111">
        <v>2011</v>
      </c>
      <c r="C283" s="117" t="s">
        <v>138</v>
      </c>
      <c r="D283" s="9" t="s">
        <v>108</v>
      </c>
      <c r="E283" s="9" t="s">
        <v>17</v>
      </c>
      <c r="F283" s="9" t="s">
        <v>37</v>
      </c>
      <c r="G283" s="9" t="s">
        <v>48</v>
      </c>
      <c r="H283" s="17">
        <v>40784</v>
      </c>
      <c r="I283" s="17"/>
      <c r="J283" s="18"/>
      <c r="K283" s="122">
        <v>90.66</v>
      </c>
      <c r="L283" s="122">
        <v>56.6</v>
      </c>
      <c r="M283" s="122" t="s">
        <v>62</v>
      </c>
      <c r="N283" s="122">
        <v>356.29</v>
      </c>
      <c r="O283" s="122">
        <v>3.93</v>
      </c>
      <c r="P283" s="122">
        <f>AJ283*1000*AN283/100</f>
        <v>175.00000000000003</v>
      </c>
      <c r="Q283" s="122">
        <f>N283*P283/1000</f>
        <v>62.350750000000012</v>
      </c>
      <c r="R283" s="122">
        <f>K283*P283/1000</f>
        <v>15.865500000000003</v>
      </c>
      <c r="S283" s="122"/>
      <c r="T283" s="122">
        <f>$AJ283*1000*$AN283*0.01*$N283*0.001</f>
        <v>62.350750000000019</v>
      </c>
      <c r="U283" s="122">
        <f>$AJ283*1000*$AN283*0.01*$K283*0.001</f>
        <v>15.865500000000003</v>
      </c>
      <c r="V283" s="123"/>
      <c r="W283" s="122"/>
      <c r="X283" s="122"/>
      <c r="Y283" s="122"/>
      <c r="Z283" s="122"/>
      <c r="AG283" s="124">
        <v>1.5</v>
      </c>
      <c r="AH283" s="122">
        <v>45</v>
      </c>
      <c r="AI283" s="133" t="s">
        <v>198</v>
      </c>
      <c r="AJ283" s="124">
        <f>AH283/4.68</f>
        <v>9.6153846153846168</v>
      </c>
      <c r="AK283" s="1" t="s">
        <v>5</v>
      </c>
      <c r="AL283" s="122"/>
      <c r="AM283" s="122"/>
      <c r="AN283" s="122">
        <v>1.82</v>
      </c>
      <c r="AO283" s="122">
        <v>53.789997100830078</v>
      </c>
      <c r="AP283" s="122">
        <v>40.799999237060547</v>
      </c>
      <c r="AQ283" s="122">
        <v>180.59999084472656</v>
      </c>
      <c r="AR283" s="122">
        <v>11.40000057220459</v>
      </c>
    </row>
    <row r="284" spans="1:44">
      <c r="A284" s="75">
        <v>283</v>
      </c>
      <c r="B284" s="111">
        <v>2011</v>
      </c>
      <c r="C284" s="117" t="s">
        <v>138</v>
      </c>
      <c r="D284" s="9" t="s">
        <v>108</v>
      </c>
      <c r="E284" s="9" t="s">
        <v>25</v>
      </c>
      <c r="F284" s="9" t="s">
        <v>35</v>
      </c>
      <c r="G284" s="9" t="s">
        <v>36</v>
      </c>
      <c r="H284" s="17">
        <v>40814</v>
      </c>
      <c r="I284" s="17"/>
      <c r="J284" s="18">
        <v>5</v>
      </c>
      <c r="K284" s="122"/>
      <c r="L284" s="122"/>
      <c r="M284" s="122"/>
      <c r="N284" s="122"/>
      <c r="O284" s="122"/>
      <c r="P284" s="122"/>
      <c r="Q284" s="122"/>
      <c r="R284" s="122"/>
      <c r="S284" s="122">
        <f>AJ284*AN284</f>
        <v>634.91999999999996</v>
      </c>
      <c r="T284" s="122">
        <f>$S284*0.4089</f>
        <v>259.618788</v>
      </c>
      <c r="U284" s="122">
        <f>$S284*0.0263</f>
        <v>16.698395999999999</v>
      </c>
      <c r="V284" s="123"/>
      <c r="W284" s="122"/>
      <c r="X284" s="122"/>
      <c r="Y284" s="122"/>
      <c r="Z284" s="122"/>
      <c r="AG284" s="124">
        <v>1.5</v>
      </c>
      <c r="AH284" s="122">
        <v>25.74</v>
      </c>
      <c r="AI284" s="123"/>
      <c r="AJ284" s="122">
        <v>17.16</v>
      </c>
      <c r="AK284" s="1" t="s">
        <v>83</v>
      </c>
      <c r="AL284" s="122"/>
      <c r="AM284" s="122"/>
      <c r="AN284" s="122">
        <v>37</v>
      </c>
      <c r="AO284" s="122"/>
      <c r="AP284" s="122"/>
      <c r="AQ284" s="122"/>
      <c r="AR284" s="122"/>
    </row>
    <row r="285" spans="1:44">
      <c r="A285" s="75">
        <v>284</v>
      </c>
      <c r="B285" s="111">
        <v>2011</v>
      </c>
      <c r="C285" s="117" t="s">
        <v>138</v>
      </c>
      <c r="D285" s="9" t="s">
        <v>108</v>
      </c>
      <c r="E285" s="9" t="s">
        <v>17</v>
      </c>
      <c r="F285" s="9" t="s">
        <v>37</v>
      </c>
      <c r="G285" s="34" t="s">
        <v>48</v>
      </c>
      <c r="H285" s="17">
        <v>40829</v>
      </c>
      <c r="I285" s="17"/>
      <c r="J285" s="18"/>
      <c r="K285" s="122">
        <v>74.709999999999994</v>
      </c>
      <c r="L285" s="122">
        <v>40</v>
      </c>
      <c r="M285" s="122" t="s">
        <v>62</v>
      </c>
      <c r="N285" s="122">
        <v>386.96</v>
      </c>
      <c r="O285" s="122">
        <v>5.18</v>
      </c>
      <c r="P285" s="122">
        <f>AJ285*1000*AN285/100</f>
        <v>189.51923076923077</v>
      </c>
      <c r="Q285" s="122">
        <f>N285*P285/1000</f>
        <v>73.336361538461546</v>
      </c>
      <c r="R285" s="122">
        <f>K285*P285/1000</f>
        <v>14.158981730769231</v>
      </c>
      <c r="S285" s="122"/>
      <c r="T285" s="122">
        <f>$AJ285*1000*$AN285*0.01*$N285*0.001</f>
        <v>73.336361538461546</v>
      </c>
      <c r="U285" s="122">
        <f>$AJ285*1000*$AN285*0.01*$K285*0.001</f>
        <v>14.158981730769231</v>
      </c>
      <c r="V285" s="123"/>
      <c r="W285" s="122"/>
      <c r="X285" s="122"/>
      <c r="Y285" s="122"/>
      <c r="Z285" s="122"/>
      <c r="AG285" s="124">
        <v>1.5</v>
      </c>
      <c r="AH285" s="122">
        <v>59.13</v>
      </c>
      <c r="AI285" s="133" t="s">
        <v>198</v>
      </c>
      <c r="AJ285" s="124">
        <f>AH285/4.68</f>
        <v>12.634615384615387</v>
      </c>
      <c r="AK285" s="1" t="s">
        <v>5</v>
      </c>
      <c r="AL285" s="122"/>
      <c r="AM285" s="122"/>
      <c r="AN285" s="122">
        <v>1.5</v>
      </c>
      <c r="AO285" s="122">
        <v>70.680061340332031</v>
      </c>
      <c r="AP285" s="122">
        <v>53.611202239990234</v>
      </c>
      <c r="AQ285" s="122">
        <v>237.30839538574219</v>
      </c>
      <c r="AR285" s="122">
        <v>14.979599952697754</v>
      </c>
    </row>
    <row r="286" spans="1:44">
      <c r="A286" s="75">
        <v>285</v>
      </c>
      <c r="B286" s="111">
        <v>2011</v>
      </c>
      <c r="C286" s="117" t="s">
        <v>138</v>
      </c>
      <c r="D286" s="9" t="s">
        <v>108</v>
      </c>
      <c r="E286" s="9" t="s">
        <v>25</v>
      </c>
      <c r="F286" s="9" t="s">
        <v>29</v>
      </c>
      <c r="G286" s="9" t="s">
        <v>47</v>
      </c>
      <c r="H286" s="17">
        <v>40894</v>
      </c>
      <c r="I286" s="17">
        <v>40908</v>
      </c>
      <c r="J286" s="18"/>
      <c r="K286" s="122"/>
      <c r="L286" s="122"/>
      <c r="M286" s="122"/>
      <c r="N286" s="122"/>
      <c r="O286" s="122"/>
      <c r="P286" s="122"/>
      <c r="Q286" s="122"/>
      <c r="R286" s="122"/>
      <c r="S286" s="122">
        <f>AJ286*AM286*AL286</f>
        <v>214.28571428571428</v>
      </c>
      <c r="T286" s="122">
        <f>$S286*0.4089</f>
        <v>87.621428571428567</v>
      </c>
      <c r="U286" s="122">
        <f>$S286*0.0263</f>
        <v>5.6357142857142852</v>
      </c>
      <c r="V286" s="123"/>
      <c r="W286" s="122"/>
      <c r="X286" s="122"/>
      <c r="Y286" s="122"/>
      <c r="Z286" s="122"/>
      <c r="AG286" s="124">
        <v>1.5</v>
      </c>
      <c r="AH286" s="124">
        <v>50</v>
      </c>
      <c r="AI286" s="133" t="s">
        <v>198</v>
      </c>
      <c r="AJ286" s="124">
        <f>AH286/4.9</f>
        <v>10.204081632653061</v>
      </c>
      <c r="AK286" s="1" t="s">
        <v>66</v>
      </c>
      <c r="AL286" s="122">
        <v>14</v>
      </c>
      <c r="AM286" s="122">
        <v>1.5</v>
      </c>
      <c r="AN286" s="122"/>
      <c r="AO286" s="122"/>
      <c r="AP286" s="122"/>
      <c r="AQ286" s="122"/>
      <c r="AR286" s="122"/>
    </row>
    <row r="287" spans="1:44">
      <c r="A287" s="75">
        <v>286</v>
      </c>
      <c r="B287" s="111">
        <v>2011</v>
      </c>
      <c r="C287" s="118" t="s">
        <v>139</v>
      </c>
      <c r="D287" s="9" t="s">
        <v>108</v>
      </c>
      <c r="E287" s="9" t="s">
        <v>17</v>
      </c>
      <c r="F287" s="9" t="s">
        <v>37</v>
      </c>
      <c r="G287" s="9" t="s">
        <v>48</v>
      </c>
      <c r="H287" s="17">
        <v>40612</v>
      </c>
      <c r="I287" s="17"/>
      <c r="J287" s="18"/>
      <c r="K287" s="122">
        <v>70.97</v>
      </c>
      <c r="L287" s="122">
        <v>33.5</v>
      </c>
      <c r="M287" s="125" t="s">
        <v>62</v>
      </c>
      <c r="N287" s="122">
        <v>365.04</v>
      </c>
      <c r="O287" s="122">
        <v>5.14</v>
      </c>
      <c r="P287" s="122">
        <f>AJ287*1000*AN287/100</f>
        <v>382.92470649487336</v>
      </c>
      <c r="Q287" s="122">
        <f>N287*P287/1000</f>
        <v>139.78283485888858</v>
      </c>
      <c r="R287" s="122">
        <f>K287*P287/1000</f>
        <v>27.176166419941161</v>
      </c>
      <c r="S287" s="122"/>
      <c r="T287" s="122">
        <f>$AJ287*1000*$AN287*0.01*$N287*0.001</f>
        <v>139.78283485888861</v>
      </c>
      <c r="U287" s="122">
        <f>$AJ287*1000*$AN287*0.01*$K287*0.001</f>
        <v>27.176166419941165</v>
      </c>
      <c r="V287" s="123"/>
      <c r="W287" s="122"/>
      <c r="X287" s="122"/>
      <c r="Y287" s="122"/>
      <c r="Z287" s="122"/>
      <c r="AG287" s="124">
        <v>3.4</v>
      </c>
      <c r="AH287" s="122">
        <v>82.02</v>
      </c>
      <c r="AI287" s="122"/>
      <c r="AJ287" s="122">
        <v>24.704819773862798</v>
      </c>
      <c r="AK287" s="1" t="s">
        <v>5</v>
      </c>
      <c r="AL287" s="122"/>
      <c r="AM287" s="122"/>
      <c r="AN287" s="122">
        <v>1.55</v>
      </c>
      <c r="AO287" s="122">
        <v>44.295742034912109</v>
      </c>
      <c r="AP287" s="122">
        <v>33.598556518554688</v>
      </c>
      <c r="AQ287" s="122">
        <v>148.7230224609375</v>
      </c>
      <c r="AR287" s="122">
        <v>9.3878316879272461</v>
      </c>
    </row>
    <row r="288" spans="1:44">
      <c r="A288" s="75">
        <v>287</v>
      </c>
      <c r="B288" s="111">
        <v>2011</v>
      </c>
      <c r="C288" s="118" t="s">
        <v>139</v>
      </c>
      <c r="D288" s="9" t="s">
        <v>108</v>
      </c>
      <c r="E288" s="9" t="s">
        <v>25</v>
      </c>
      <c r="F288" s="9" t="s">
        <v>35</v>
      </c>
      <c r="G288" s="9" t="s">
        <v>36</v>
      </c>
      <c r="H288" s="17">
        <v>40652</v>
      </c>
      <c r="I288" s="17"/>
      <c r="J288" s="18">
        <v>1</v>
      </c>
      <c r="K288" s="122"/>
      <c r="L288" s="122"/>
      <c r="M288" s="122"/>
      <c r="N288" s="122"/>
      <c r="O288" s="122"/>
      <c r="P288" s="122"/>
      <c r="Q288" s="122"/>
      <c r="R288" s="122"/>
      <c r="S288" s="122">
        <f>AJ288*AN288</f>
        <v>1298.0090622444136</v>
      </c>
      <c r="T288" s="122">
        <f>$S288*0.4089</f>
        <v>530.75590555174074</v>
      </c>
      <c r="U288" s="122">
        <f>$S288*0.0263</f>
        <v>34.137638337028079</v>
      </c>
      <c r="V288" s="123"/>
      <c r="W288" s="122"/>
      <c r="X288" s="122"/>
      <c r="Y288" s="122"/>
      <c r="Z288" s="122"/>
      <c r="AG288" s="124">
        <v>3.4</v>
      </c>
      <c r="AH288" s="122">
        <v>116.46999999999998</v>
      </c>
      <c r="AI288" s="122"/>
      <c r="AJ288" s="122">
        <v>35.081326006605771</v>
      </c>
      <c r="AK288" s="1" t="s">
        <v>83</v>
      </c>
      <c r="AL288" s="122"/>
      <c r="AM288" s="122"/>
      <c r="AN288" s="122">
        <v>37</v>
      </c>
      <c r="AO288" s="122"/>
      <c r="AP288" s="122"/>
      <c r="AQ288" s="122"/>
      <c r="AR288" s="122"/>
    </row>
    <row r="289" spans="1:44">
      <c r="A289" s="75">
        <v>288</v>
      </c>
      <c r="B289" s="111">
        <v>2011</v>
      </c>
      <c r="C289" s="118" t="s">
        <v>139</v>
      </c>
      <c r="D289" s="9" t="s">
        <v>108</v>
      </c>
      <c r="E289" s="9" t="s">
        <v>17</v>
      </c>
      <c r="F289" s="9" t="s">
        <v>37</v>
      </c>
      <c r="G289" s="9" t="s">
        <v>48</v>
      </c>
      <c r="H289" s="17">
        <v>40661</v>
      </c>
      <c r="I289" s="17"/>
      <c r="J289" s="18"/>
      <c r="K289" s="122">
        <v>61.11</v>
      </c>
      <c r="L289" s="122">
        <v>25.6</v>
      </c>
      <c r="M289" s="125" t="s">
        <v>62</v>
      </c>
      <c r="N289" s="122">
        <v>386.49</v>
      </c>
      <c r="O289" s="122">
        <v>6.32</v>
      </c>
      <c r="P289" s="122">
        <f>AJ289*1000*AN289/100</f>
        <v>485.45784108668892</v>
      </c>
      <c r="Q289" s="122">
        <f>N289*P289/1000</f>
        <v>187.62460100159439</v>
      </c>
      <c r="R289" s="122">
        <f>K289*P289/1000</f>
        <v>29.666328668807559</v>
      </c>
      <c r="S289" s="122"/>
      <c r="T289" s="122">
        <f>$AJ289*1000*$AN289*0.01*$N289*0.001</f>
        <v>187.62460100159439</v>
      </c>
      <c r="U289" s="122">
        <f>$AJ289*1000*$AN289*0.01*$K289*0.001</f>
        <v>29.666328668807562</v>
      </c>
      <c r="V289" s="123"/>
      <c r="W289" s="122"/>
      <c r="X289" s="122"/>
      <c r="Y289" s="122"/>
      <c r="Z289" s="122"/>
      <c r="AG289" s="124">
        <v>3.4</v>
      </c>
      <c r="AH289" s="122">
        <v>89.54</v>
      </c>
      <c r="AI289" s="122"/>
      <c r="AJ289" s="122">
        <v>26.969880060371608</v>
      </c>
      <c r="AK289" s="1" t="s">
        <v>5</v>
      </c>
      <c r="AL289" s="122"/>
      <c r="AM289" s="122"/>
      <c r="AN289" s="122">
        <v>1.8</v>
      </c>
      <c r="AO289" s="122">
        <v>34.892284393310547</v>
      </c>
      <c r="AP289" s="122">
        <v>33.712352752685547</v>
      </c>
      <c r="AQ289" s="122">
        <v>75.515663146972656</v>
      </c>
      <c r="AR289" s="122">
        <v>6.7424702644348145</v>
      </c>
    </row>
    <row r="290" spans="1:44">
      <c r="A290" s="75">
        <v>289</v>
      </c>
      <c r="B290" s="111">
        <v>2011</v>
      </c>
      <c r="C290" s="118" t="s">
        <v>139</v>
      </c>
      <c r="D290" s="9" t="s">
        <v>108</v>
      </c>
      <c r="E290" s="9" t="s">
        <v>25</v>
      </c>
      <c r="F290" s="9" t="s">
        <v>29</v>
      </c>
      <c r="G290" s="9" t="s">
        <v>47</v>
      </c>
      <c r="H290" s="17">
        <v>40683</v>
      </c>
      <c r="I290" s="17">
        <v>40685</v>
      </c>
      <c r="J290" s="18"/>
      <c r="K290" s="122"/>
      <c r="L290" s="122"/>
      <c r="M290" s="122"/>
      <c r="N290" s="122"/>
      <c r="O290" s="122"/>
      <c r="P290" s="122"/>
      <c r="Q290" s="122"/>
      <c r="R290" s="122"/>
      <c r="S290" s="122">
        <f>AJ290*AM290*AL290</f>
        <v>36.734693877551017</v>
      </c>
      <c r="T290" s="122">
        <f>$S290*0.4089</f>
        <v>15.02081632653061</v>
      </c>
      <c r="U290" s="122">
        <f>$S290*0.0263</f>
        <v>0.96612244897959176</v>
      </c>
      <c r="V290" s="123"/>
      <c r="W290" s="122"/>
      <c r="X290" s="122"/>
      <c r="Y290" s="122"/>
      <c r="Z290" s="122"/>
      <c r="AG290" s="124">
        <v>3.4</v>
      </c>
      <c r="AH290" s="124">
        <v>60</v>
      </c>
      <c r="AI290" s="124"/>
      <c r="AJ290" s="124">
        <f>AH290/4.9</f>
        <v>12.244897959183673</v>
      </c>
      <c r="AK290" s="1" t="s">
        <v>66</v>
      </c>
      <c r="AL290" s="122">
        <v>2</v>
      </c>
      <c r="AM290" s="122">
        <v>1.5</v>
      </c>
      <c r="AN290" s="122"/>
      <c r="AO290" s="122"/>
      <c r="AP290" s="122"/>
      <c r="AQ290" s="122"/>
      <c r="AR290" s="122"/>
    </row>
    <row r="291" spans="1:44">
      <c r="A291" s="75">
        <v>290</v>
      </c>
      <c r="B291" s="111">
        <v>2011</v>
      </c>
      <c r="C291" s="118" t="s">
        <v>139</v>
      </c>
      <c r="D291" s="9" t="s">
        <v>108</v>
      </c>
      <c r="E291" s="9" t="s">
        <v>25</v>
      </c>
      <c r="F291" s="9" t="s">
        <v>35</v>
      </c>
      <c r="G291" s="9" t="s">
        <v>36</v>
      </c>
      <c r="H291" s="17">
        <v>40709</v>
      </c>
      <c r="I291" s="17"/>
      <c r="J291" s="18">
        <v>2</v>
      </c>
      <c r="K291" s="122"/>
      <c r="L291" s="122"/>
      <c r="M291" s="122"/>
      <c r="N291" s="122"/>
      <c r="O291" s="122"/>
      <c r="P291" s="122"/>
      <c r="Q291" s="122"/>
      <c r="R291" s="122"/>
      <c r="S291" s="122">
        <f>AJ291*AN291</f>
        <v>792.82531714662662</v>
      </c>
      <c r="T291" s="122">
        <f>$S291*0.4089</f>
        <v>324.18627218125562</v>
      </c>
      <c r="U291" s="122">
        <f>$S291*0.0263</f>
        <v>20.851305840956279</v>
      </c>
      <c r="V291" s="123"/>
      <c r="W291" s="122"/>
      <c r="X291" s="122"/>
      <c r="Y291" s="122"/>
      <c r="Z291" s="122"/>
      <c r="AG291" s="124">
        <v>3.4</v>
      </c>
      <c r="AH291" s="122">
        <v>71.14</v>
      </c>
      <c r="AI291" s="122"/>
      <c r="AJ291" s="122">
        <v>21.42771127423315</v>
      </c>
      <c r="AK291" s="1" t="s">
        <v>83</v>
      </c>
      <c r="AL291" s="122"/>
      <c r="AM291" s="122"/>
      <c r="AN291" s="122">
        <v>37</v>
      </c>
      <c r="AO291" s="122"/>
      <c r="AP291" s="122"/>
      <c r="AQ291" s="122"/>
      <c r="AR291" s="122"/>
    </row>
    <row r="292" spans="1:44">
      <c r="A292" s="75">
        <v>291</v>
      </c>
      <c r="B292" s="111">
        <v>2011</v>
      </c>
      <c r="C292" s="118" t="s">
        <v>139</v>
      </c>
      <c r="D292" s="9" t="s">
        <v>108</v>
      </c>
      <c r="E292" s="9" t="s">
        <v>17</v>
      </c>
      <c r="F292" s="9" t="s">
        <v>37</v>
      </c>
      <c r="G292" s="9" t="s">
        <v>48</v>
      </c>
      <c r="H292" s="17">
        <v>40716</v>
      </c>
      <c r="I292" s="17"/>
      <c r="J292" s="18"/>
      <c r="K292" s="122">
        <v>50.49</v>
      </c>
      <c r="L292" s="122">
        <v>32.5</v>
      </c>
      <c r="M292" s="125" t="s">
        <v>62</v>
      </c>
      <c r="N292" s="122">
        <v>436.64</v>
      </c>
      <c r="O292" s="122">
        <v>8.65</v>
      </c>
      <c r="P292" s="122">
        <f>AJ292*1000*AN292/100</f>
        <v>669.07079658593216</v>
      </c>
      <c r="Q292" s="122">
        <f>N292*P292/1000</f>
        <v>292.14307262128142</v>
      </c>
      <c r="R292" s="122">
        <f>K292*P292/1000</f>
        <v>33.781384519623714</v>
      </c>
      <c r="S292" s="122"/>
      <c r="T292" s="122">
        <f>$AJ292*1000*$AN292*0.01*$N292*0.001</f>
        <v>292.14307262128142</v>
      </c>
      <c r="U292" s="122">
        <f>$AJ292*1000*$AN292*0.01*$K292*0.001</f>
        <v>33.781384519623714</v>
      </c>
      <c r="V292" s="123"/>
      <c r="W292" s="122"/>
      <c r="X292" s="122"/>
      <c r="Y292" s="122"/>
      <c r="Z292" s="122"/>
      <c r="AG292" s="124">
        <v>3.4</v>
      </c>
      <c r="AH292" s="122">
        <v>72.83</v>
      </c>
      <c r="AI292" s="122"/>
      <c r="AJ292" s="122">
        <v>21.936747429046953</v>
      </c>
      <c r="AK292" s="1" t="s">
        <v>5</v>
      </c>
      <c r="AL292" s="122"/>
      <c r="AM292" s="122"/>
      <c r="AN292" s="122">
        <v>3.05</v>
      </c>
      <c r="AO292" s="122">
        <v>39.332584381103516</v>
      </c>
      <c r="AP292" s="122">
        <v>29.833974838256836</v>
      </c>
      <c r="AQ292" s="122">
        <v>132.05921936035156</v>
      </c>
      <c r="AR292" s="122">
        <v>8.3359642028808594</v>
      </c>
    </row>
    <row r="293" spans="1:44">
      <c r="A293" s="75">
        <v>292</v>
      </c>
      <c r="B293" s="111">
        <v>2011</v>
      </c>
      <c r="C293" s="118" t="s">
        <v>139</v>
      </c>
      <c r="D293" s="9" t="s">
        <v>108</v>
      </c>
      <c r="E293" s="9" t="s">
        <v>25</v>
      </c>
      <c r="F293" s="9" t="s">
        <v>35</v>
      </c>
      <c r="G293" s="9" t="s">
        <v>36</v>
      </c>
      <c r="H293" s="17">
        <v>40736</v>
      </c>
      <c r="I293" s="17"/>
      <c r="J293" s="18">
        <v>3</v>
      </c>
      <c r="K293" s="122"/>
      <c r="L293" s="122"/>
      <c r="M293" s="122"/>
      <c r="N293" s="122"/>
      <c r="O293" s="122"/>
      <c r="P293" s="122"/>
      <c r="Q293" s="122"/>
      <c r="R293" s="122"/>
      <c r="S293" s="122">
        <f>AJ293*AN293</f>
        <v>708.46085761893505</v>
      </c>
      <c r="T293" s="122">
        <f>$S293*0.4089</f>
        <v>289.68964468038251</v>
      </c>
      <c r="U293" s="122">
        <f>$S293*0.0263</f>
        <v>18.632520555377994</v>
      </c>
      <c r="V293" s="123"/>
      <c r="W293" s="122"/>
      <c r="X293" s="122"/>
      <c r="Y293" s="122"/>
      <c r="Z293" s="122"/>
      <c r="AG293" s="124">
        <v>3.4</v>
      </c>
      <c r="AH293" s="122">
        <v>63.569999999999993</v>
      </c>
      <c r="AI293" s="122"/>
      <c r="AJ293" s="122">
        <v>19.147590746457706</v>
      </c>
      <c r="AK293" s="1" t="s">
        <v>83</v>
      </c>
      <c r="AL293" s="122"/>
      <c r="AM293" s="122"/>
      <c r="AN293" s="122">
        <v>37</v>
      </c>
      <c r="AO293" s="122"/>
      <c r="AP293" s="122"/>
      <c r="AQ293" s="122"/>
      <c r="AR293" s="122"/>
    </row>
    <row r="294" spans="1:44">
      <c r="A294" s="75">
        <v>293</v>
      </c>
      <c r="B294" s="111">
        <v>2011</v>
      </c>
      <c r="C294" s="118" t="s">
        <v>139</v>
      </c>
      <c r="D294" s="9" t="s">
        <v>108</v>
      </c>
      <c r="E294" s="9" t="s">
        <v>17</v>
      </c>
      <c r="F294" s="9" t="s">
        <v>37</v>
      </c>
      <c r="G294" s="9" t="s">
        <v>48</v>
      </c>
      <c r="H294" s="17">
        <v>40742</v>
      </c>
      <c r="I294" s="17"/>
      <c r="J294" s="18"/>
      <c r="K294" s="122">
        <v>106.82</v>
      </c>
      <c r="L294" s="122">
        <v>59.1</v>
      </c>
      <c r="M294" s="125" t="s">
        <v>62</v>
      </c>
      <c r="N294" s="122">
        <v>375.54</v>
      </c>
      <c r="O294" s="122">
        <v>3.52</v>
      </c>
      <c r="P294" s="122">
        <f>AJ294*1000*AN294/100</f>
        <v>479.75904579137699</v>
      </c>
      <c r="Q294" s="122">
        <f>N294*P294/1000</f>
        <v>180.16871205649375</v>
      </c>
      <c r="R294" s="122">
        <f>K294*P294/1000</f>
        <v>51.247861271434886</v>
      </c>
      <c r="S294" s="122"/>
      <c r="T294" s="122">
        <f>$AJ294*1000*$AN294*0.01*$N294*0.001</f>
        <v>180.16871205649375</v>
      </c>
      <c r="U294" s="122">
        <f>$AJ294*1000*$AN294*0.01*$K294*0.001</f>
        <v>51.247861271434886</v>
      </c>
      <c r="V294" s="123"/>
      <c r="W294" s="122"/>
      <c r="X294" s="122"/>
      <c r="Y294" s="122"/>
      <c r="Z294" s="122"/>
      <c r="AG294" s="124">
        <v>3.4</v>
      </c>
      <c r="AH294" s="122">
        <v>90.5</v>
      </c>
      <c r="AI294" s="122"/>
      <c r="AJ294" s="122">
        <v>27.259036692691875</v>
      </c>
      <c r="AK294" s="1" t="s">
        <v>5</v>
      </c>
      <c r="AL294" s="122"/>
      <c r="AM294" s="122"/>
      <c r="AN294" s="122">
        <v>1.76</v>
      </c>
      <c r="AO294" s="122">
        <v>48.875450134277344</v>
      </c>
      <c r="AP294" s="122">
        <v>37.072292327880859</v>
      </c>
      <c r="AQ294" s="122">
        <v>164.09939575195313</v>
      </c>
      <c r="AR294" s="122">
        <v>10.358433723449707</v>
      </c>
    </row>
    <row r="295" spans="1:44">
      <c r="A295" s="75">
        <v>294</v>
      </c>
      <c r="B295" s="111">
        <v>2011</v>
      </c>
      <c r="C295" s="118" t="s">
        <v>139</v>
      </c>
      <c r="D295" s="9" t="s">
        <v>108</v>
      </c>
      <c r="E295" s="9" t="s">
        <v>25</v>
      </c>
      <c r="F295" s="9" t="s">
        <v>35</v>
      </c>
      <c r="G295" s="33" t="s">
        <v>43</v>
      </c>
      <c r="H295" s="17">
        <v>40779</v>
      </c>
      <c r="I295" s="17"/>
      <c r="J295" s="18">
        <v>4</v>
      </c>
      <c r="K295" s="122"/>
      <c r="L295" s="122"/>
      <c r="M295" s="122"/>
      <c r="N295" s="122"/>
      <c r="O295" s="122"/>
      <c r="P295" s="122"/>
      <c r="Q295" s="122"/>
      <c r="R295" s="122"/>
      <c r="S295" s="122">
        <f>AJ295*AN295</f>
        <v>1089.216889371407</v>
      </c>
      <c r="T295" s="122">
        <f>$S295*0.4089</f>
        <v>445.38078606396829</v>
      </c>
      <c r="U295" s="122">
        <f>$S295*0.0263</f>
        <v>28.646404190468004</v>
      </c>
      <c r="V295" s="123"/>
      <c r="W295" s="122"/>
      <c r="X295" s="122"/>
      <c r="Y295" s="122"/>
      <c r="Z295" s="122"/>
      <c r="AG295" s="124">
        <v>3.4</v>
      </c>
      <c r="AH295" s="122">
        <v>51.66</v>
      </c>
      <c r="AI295" s="122"/>
      <c r="AJ295" s="122">
        <v>15.560241276734386</v>
      </c>
      <c r="AK295" s="1" t="s">
        <v>83</v>
      </c>
      <c r="AL295" s="122"/>
      <c r="AM295" s="122"/>
      <c r="AN295" s="122">
        <v>70</v>
      </c>
      <c r="AO295" s="122"/>
      <c r="AP295" s="122"/>
      <c r="AQ295" s="122"/>
      <c r="AR295" s="122"/>
    </row>
    <row r="296" spans="1:44">
      <c r="A296" s="75">
        <v>295</v>
      </c>
      <c r="B296" s="111">
        <v>2011</v>
      </c>
      <c r="C296" s="118" t="s">
        <v>139</v>
      </c>
      <c r="D296" s="9" t="s">
        <v>108</v>
      </c>
      <c r="E296" s="9" t="s">
        <v>17</v>
      </c>
      <c r="F296" s="9" t="s">
        <v>37</v>
      </c>
      <c r="G296" s="9" t="s">
        <v>48</v>
      </c>
      <c r="H296" s="17">
        <v>40784</v>
      </c>
      <c r="I296" s="17"/>
      <c r="J296" s="18"/>
      <c r="K296" s="122">
        <v>75.88</v>
      </c>
      <c r="L296" s="122">
        <v>43.6</v>
      </c>
      <c r="M296" s="125" t="s">
        <v>62</v>
      </c>
      <c r="N296" s="122">
        <v>399.42</v>
      </c>
      <c r="O296" s="122">
        <v>5.26</v>
      </c>
      <c r="P296" s="122">
        <f>AJ296*1000*AN296/100</f>
        <v>771.00001550295292</v>
      </c>
      <c r="Q296" s="122">
        <f>N296*P296/1000</f>
        <v>307.95282619218949</v>
      </c>
      <c r="R296" s="122">
        <f>K296*P296/1000</f>
        <v>58.503481176364062</v>
      </c>
      <c r="S296" s="122"/>
      <c r="T296" s="122">
        <f>$AJ296*1000*$AN296*0.01*$N296*0.001</f>
        <v>307.95282619218949</v>
      </c>
      <c r="U296" s="122">
        <f>$AJ296*1000*$AN296*0.01*$K296*0.001</f>
        <v>58.503481176364062</v>
      </c>
      <c r="V296" s="123"/>
      <c r="W296" s="122"/>
      <c r="X296" s="122"/>
      <c r="Y296" s="122"/>
      <c r="Z296" s="122"/>
      <c r="AG296" s="124">
        <v>3.4</v>
      </c>
      <c r="AH296" s="122">
        <v>99.6</v>
      </c>
      <c r="AI296" s="122"/>
      <c r="AJ296" s="122">
        <v>30.00000060322774</v>
      </c>
      <c r="AK296" s="1" t="s">
        <v>5</v>
      </c>
      <c r="AL296" s="122"/>
      <c r="AM296" s="122"/>
      <c r="AN296" s="122">
        <v>2.57</v>
      </c>
      <c r="AO296" s="122">
        <v>53.790000915527344</v>
      </c>
      <c r="AP296" s="122">
        <v>40.799999237060547</v>
      </c>
      <c r="AQ296" s="122">
        <v>180.59999084472656</v>
      </c>
      <c r="AR296" s="122">
        <v>11.40000057220459</v>
      </c>
    </row>
    <row r="297" spans="1:44">
      <c r="A297" s="75">
        <v>296</v>
      </c>
      <c r="B297" s="111">
        <v>2011</v>
      </c>
      <c r="C297" s="118" t="s">
        <v>139</v>
      </c>
      <c r="D297" s="9" t="s">
        <v>108</v>
      </c>
      <c r="E297" s="9" t="s">
        <v>25</v>
      </c>
      <c r="F297" s="9" t="s">
        <v>35</v>
      </c>
      <c r="G297" s="9" t="s">
        <v>36</v>
      </c>
      <c r="H297" s="17">
        <v>40814</v>
      </c>
      <c r="I297" s="17"/>
      <c r="J297" s="18">
        <v>5</v>
      </c>
      <c r="K297" s="122"/>
      <c r="L297" s="122"/>
      <c r="M297" s="122"/>
      <c r="N297" s="122"/>
      <c r="O297" s="122"/>
      <c r="P297" s="122"/>
      <c r="Q297" s="122"/>
      <c r="R297" s="122"/>
      <c r="S297" s="122">
        <f>AJ297*AN297</f>
        <v>634.79519348709368</v>
      </c>
      <c r="T297" s="122">
        <f>$S297*0.4089</f>
        <v>259.56775461687261</v>
      </c>
      <c r="U297" s="122">
        <f>$S297*0.0263</f>
        <v>16.695113588710566</v>
      </c>
      <c r="V297" s="123"/>
      <c r="W297" s="122"/>
      <c r="X297" s="122"/>
      <c r="Y297" s="122"/>
      <c r="Z297" s="122"/>
      <c r="AG297" s="124">
        <v>3.4</v>
      </c>
      <c r="AH297" s="122">
        <v>56.96</v>
      </c>
      <c r="AI297" s="122"/>
      <c r="AJ297" s="122">
        <v>17.156626851002532</v>
      </c>
      <c r="AK297" s="1" t="s">
        <v>83</v>
      </c>
      <c r="AL297" s="122"/>
      <c r="AM297" s="122"/>
      <c r="AN297" s="122">
        <v>37</v>
      </c>
      <c r="AO297" s="122"/>
      <c r="AP297" s="122"/>
      <c r="AQ297" s="122"/>
      <c r="AR297" s="122"/>
    </row>
    <row r="298" spans="1:44">
      <c r="A298" s="75">
        <v>297</v>
      </c>
      <c r="B298" s="111">
        <v>2011</v>
      </c>
      <c r="C298" s="118" t="s">
        <v>139</v>
      </c>
      <c r="D298" s="9" t="s">
        <v>108</v>
      </c>
      <c r="E298" s="9" t="s">
        <v>17</v>
      </c>
      <c r="F298" s="9" t="s">
        <v>37</v>
      </c>
      <c r="G298" s="34" t="s">
        <v>48</v>
      </c>
      <c r="H298" s="17">
        <v>40829</v>
      </c>
      <c r="I298" s="17"/>
      <c r="J298" s="18"/>
      <c r="K298" s="122">
        <v>52.69</v>
      </c>
      <c r="L298" s="122">
        <v>23.3</v>
      </c>
      <c r="M298" s="125" t="s">
        <v>62</v>
      </c>
      <c r="N298" s="122">
        <v>365.72</v>
      </c>
      <c r="O298" s="122">
        <v>6.94</v>
      </c>
      <c r="P298" s="122">
        <f>AJ298*1000*AN298/100</f>
        <v>1099.781046210333</v>
      </c>
      <c r="Q298" s="122">
        <f>N298*P298/1000</f>
        <v>402.21192422004299</v>
      </c>
      <c r="R298" s="122">
        <f>K298*P298/1000</f>
        <v>57.947463324822444</v>
      </c>
      <c r="S298" s="122"/>
      <c r="T298" s="122">
        <f>$AJ298*1000*$AN298*0.01*$N298*0.001</f>
        <v>402.21192422004299</v>
      </c>
      <c r="U298" s="122">
        <f>$AJ298*1000*$AN298*0.01*$K298*0.001</f>
        <v>57.947463324822444</v>
      </c>
      <c r="V298" s="123"/>
      <c r="W298" s="122"/>
      <c r="X298" s="122"/>
      <c r="Y298" s="122"/>
      <c r="Z298" s="122"/>
      <c r="AG298" s="124">
        <v>3.4</v>
      </c>
      <c r="AH298" s="122">
        <v>130.87</v>
      </c>
      <c r="AI298" s="122"/>
      <c r="AJ298" s="122">
        <v>39.418675491409786</v>
      </c>
      <c r="AK298" s="1" t="s">
        <v>5</v>
      </c>
      <c r="AL298" s="122"/>
      <c r="AM298" s="122"/>
      <c r="AN298" s="122">
        <v>2.79</v>
      </c>
      <c r="AO298" s="122">
        <v>70.677688598632813</v>
      </c>
      <c r="AP298" s="122">
        <v>53.609397888183594</v>
      </c>
      <c r="AQ298" s="122">
        <v>237.30043029785156</v>
      </c>
      <c r="AR298" s="122">
        <v>14.979096412658691</v>
      </c>
    </row>
    <row r="299" spans="1:44">
      <c r="A299" s="75">
        <v>298</v>
      </c>
      <c r="B299" s="111">
        <v>2011</v>
      </c>
      <c r="C299" s="118" t="s">
        <v>139</v>
      </c>
      <c r="D299" s="9" t="s">
        <v>108</v>
      </c>
      <c r="E299" s="9" t="s">
        <v>25</v>
      </c>
      <c r="F299" s="9" t="s">
        <v>29</v>
      </c>
      <c r="G299" s="9" t="s">
        <v>47</v>
      </c>
      <c r="H299" s="17">
        <v>40894</v>
      </c>
      <c r="I299" s="17">
        <v>40908</v>
      </c>
      <c r="J299" s="18"/>
      <c r="K299" s="122"/>
      <c r="L299" s="122"/>
      <c r="M299" s="122"/>
      <c r="N299" s="122"/>
      <c r="O299" s="122"/>
      <c r="P299" s="122"/>
      <c r="Q299" s="122"/>
      <c r="R299" s="122"/>
      <c r="S299" s="122">
        <f>AJ299*AM299*AL299</f>
        <v>214.28571428571428</v>
      </c>
      <c r="T299" s="122">
        <f>$S299*0.4089</f>
        <v>87.621428571428567</v>
      </c>
      <c r="U299" s="122">
        <f>$S299*0.0263</f>
        <v>5.6357142857142852</v>
      </c>
      <c r="V299" s="123"/>
      <c r="W299" s="122"/>
      <c r="X299" s="122"/>
      <c r="Y299" s="122"/>
      <c r="Z299" s="122"/>
      <c r="AG299" s="124">
        <v>3.4</v>
      </c>
      <c r="AH299" s="124">
        <v>50</v>
      </c>
      <c r="AI299" s="124"/>
      <c r="AJ299" s="124">
        <f>AH299/4.9</f>
        <v>10.204081632653061</v>
      </c>
      <c r="AK299" s="1" t="s">
        <v>66</v>
      </c>
      <c r="AL299" s="122">
        <v>14</v>
      </c>
      <c r="AM299" s="122">
        <v>1.5</v>
      </c>
      <c r="AN299" s="122"/>
      <c r="AO299" s="122"/>
      <c r="AP299" s="122"/>
      <c r="AQ299" s="122"/>
      <c r="AR299" s="122"/>
    </row>
    <row r="300" spans="1:44">
      <c r="A300" s="75">
        <v>299</v>
      </c>
      <c r="B300" s="109">
        <v>2012</v>
      </c>
      <c r="C300" s="117" t="s">
        <v>138</v>
      </c>
      <c r="D300" s="9" t="s">
        <v>108</v>
      </c>
      <c r="E300" s="9" t="s">
        <v>25</v>
      </c>
      <c r="F300" s="9" t="s">
        <v>29</v>
      </c>
      <c r="G300" s="9" t="s">
        <v>47</v>
      </c>
      <c r="H300" s="17">
        <v>40909</v>
      </c>
      <c r="I300" s="17">
        <v>40916</v>
      </c>
      <c r="J300" s="18"/>
      <c r="K300" s="122"/>
      <c r="L300" s="122"/>
      <c r="M300" s="122"/>
      <c r="N300" s="122"/>
      <c r="O300" s="122"/>
      <c r="P300" s="122"/>
      <c r="Q300" s="122"/>
      <c r="R300" s="122"/>
      <c r="S300" s="122">
        <f>AJ300*AM300*AL300</f>
        <v>107.14285714285714</v>
      </c>
      <c r="T300" s="122">
        <f>$S300*0.4089</f>
        <v>43.810714285714283</v>
      </c>
      <c r="U300" s="122">
        <f>$S300*0.0263</f>
        <v>2.8178571428571426</v>
      </c>
      <c r="V300" s="123"/>
      <c r="W300" s="122"/>
      <c r="X300" s="122"/>
      <c r="Y300" s="122"/>
      <c r="Z300" s="122"/>
      <c r="AG300" s="124">
        <v>1.5</v>
      </c>
      <c r="AH300" s="124">
        <f>50/4.9*1.5</f>
        <v>15.306122448979592</v>
      </c>
      <c r="AI300" s="124"/>
      <c r="AJ300" s="124">
        <f>AH300/AG300</f>
        <v>10.204081632653061</v>
      </c>
      <c r="AK300" s="1" t="s">
        <v>66</v>
      </c>
      <c r="AL300" s="122">
        <v>7</v>
      </c>
      <c r="AM300" s="122">
        <v>1.5</v>
      </c>
      <c r="AN300" s="122"/>
      <c r="AO300" s="122"/>
      <c r="AP300" s="122"/>
      <c r="AQ300" s="122"/>
      <c r="AR300" s="122"/>
    </row>
    <row r="301" spans="1:44">
      <c r="A301" s="75">
        <v>300</v>
      </c>
      <c r="B301" s="109">
        <v>2012</v>
      </c>
      <c r="C301" s="117" t="s">
        <v>138</v>
      </c>
      <c r="D301" s="9" t="s">
        <v>108</v>
      </c>
      <c r="E301" s="9" t="s">
        <v>17</v>
      </c>
      <c r="F301" s="9" t="s">
        <v>37</v>
      </c>
      <c r="G301" s="9" t="s">
        <v>46</v>
      </c>
      <c r="H301" s="17">
        <v>40924</v>
      </c>
      <c r="I301" s="17">
        <v>40926</v>
      </c>
      <c r="J301" s="18"/>
      <c r="K301" s="122">
        <v>32.07</v>
      </c>
      <c r="L301" s="122">
        <v>3.6</v>
      </c>
      <c r="M301" s="125" t="s">
        <v>62</v>
      </c>
      <c r="N301" s="122">
        <v>458.62</v>
      </c>
      <c r="O301" s="122">
        <v>14.3</v>
      </c>
      <c r="P301" s="122">
        <f>AJ301*1000*AN301/100</f>
        <v>3408.8400000000006</v>
      </c>
      <c r="Q301" s="122">
        <f>N301*P301/1000</f>
        <v>1563.3622008000002</v>
      </c>
      <c r="R301" s="122">
        <f>P301*K301/1000</f>
        <v>109.32149880000001</v>
      </c>
      <c r="S301" s="122"/>
      <c r="T301" s="122">
        <f>$AJ301*1000*$AN301*0.01*$N301*0.001</f>
        <v>1563.3622008000002</v>
      </c>
      <c r="U301" s="122">
        <f>$AJ301*1000*$AN301*0.01*$K301*0.001</f>
        <v>109.32149880000001</v>
      </c>
      <c r="V301" s="123"/>
      <c r="W301" s="122"/>
      <c r="X301" s="122"/>
      <c r="Y301" s="122"/>
      <c r="Z301" s="122"/>
      <c r="AG301" s="124">
        <v>1.5</v>
      </c>
      <c r="AH301" s="138">
        <v>30.61</v>
      </c>
      <c r="AI301" s="138"/>
      <c r="AJ301" s="139">
        <f>30.6/1.5</f>
        <v>20.400000000000002</v>
      </c>
      <c r="AK301" s="1" t="s">
        <v>2</v>
      </c>
      <c r="AL301" s="122"/>
      <c r="AM301" s="122"/>
      <c r="AN301" s="122">
        <v>16.71</v>
      </c>
      <c r="AO301" s="122">
        <v>27.497983455657959</v>
      </c>
      <c r="AP301" s="122">
        <v>46.935332775115967</v>
      </c>
      <c r="AQ301" s="122">
        <v>173.25260162353516</v>
      </c>
      <c r="AR301" s="122">
        <v>16.937532901763916</v>
      </c>
    </row>
    <row r="302" spans="1:44">
      <c r="A302" s="75">
        <v>301</v>
      </c>
      <c r="B302" s="109">
        <v>2012</v>
      </c>
      <c r="C302" s="117" t="s">
        <v>138</v>
      </c>
      <c r="D302" s="9" t="s">
        <v>108</v>
      </c>
      <c r="E302" s="9" t="s">
        <v>24</v>
      </c>
      <c r="F302" s="9" t="s">
        <v>40</v>
      </c>
      <c r="G302" s="9"/>
      <c r="H302" s="17">
        <v>40941</v>
      </c>
      <c r="I302" s="17"/>
      <c r="J302" s="18"/>
      <c r="K302" s="122"/>
      <c r="L302" s="122"/>
      <c r="M302" s="122"/>
      <c r="N302" s="122"/>
      <c r="O302" s="122"/>
      <c r="P302" s="122"/>
      <c r="Q302" s="122"/>
      <c r="R302" s="122"/>
      <c r="S302" s="122"/>
      <c r="T302" s="122"/>
      <c r="U302" s="122"/>
      <c r="V302" s="123"/>
      <c r="W302" s="122"/>
      <c r="X302" s="122"/>
      <c r="Y302" s="122"/>
      <c r="Z302" s="122"/>
      <c r="AG302" s="124">
        <v>1.5</v>
      </c>
      <c r="AH302" s="122"/>
      <c r="AI302" s="122"/>
      <c r="AJ302" s="122"/>
      <c r="AL302" s="122"/>
      <c r="AM302" s="122"/>
      <c r="AN302" s="122"/>
      <c r="AO302" s="122"/>
      <c r="AP302" s="122"/>
      <c r="AQ302" s="122"/>
      <c r="AR302" s="122"/>
    </row>
    <row r="303" spans="1:44">
      <c r="A303" s="75">
        <v>302</v>
      </c>
      <c r="B303" s="109">
        <v>2012</v>
      </c>
      <c r="C303" s="117" t="s">
        <v>138</v>
      </c>
      <c r="D303" s="9" t="s">
        <v>108</v>
      </c>
      <c r="E303" s="9" t="s">
        <v>24</v>
      </c>
      <c r="F303" s="9" t="s">
        <v>30</v>
      </c>
      <c r="G303" s="37" t="s">
        <v>128</v>
      </c>
      <c r="H303" s="17">
        <v>40996</v>
      </c>
      <c r="I303" s="17"/>
      <c r="J303" s="18"/>
      <c r="K303" s="122"/>
      <c r="L303" s="122"/>
      <c r="M303" s="122"/>
      <c r="N303" s="122"/>
      <c r="O303" s="122"/>
      <c r="P303" s="122"/>
      <c r="Q303" s="122"/>
      <c r="R303" s="122"/>
      <c r="S303" s="122"/>
      <c r="T303" s="122"/>
      <c r="U303" s="122"/>
      <c r="V303" s="123"/>
      <c r="W303" s="122"/>
      <c r="X303" s="122"/>
      <c r="Y303" s="122"/>
      <c r="Z303" s="122"/>
      <c r="AG303" s="124">
        <v>1.5</v>
      </c>
      <c r="AH303" s="122"/>
      <c r="AI303" s="122"/>
      <c r="AJ303" s="122"/>
      <c r="AL303" s="122"/>
      <c r="AM303" s="122"/>
      <c r="AN303" s="122"/>
      <c r="AO303" s="122"/>
      <c r="AP303" s="122"/>
      <c r="AQ303" s="122"/>
      <c r="AR303" s="122"/>
    </row>
    <row r="304" spans="1:44">
      <c r="A304" s="75">
        <v>303</v>
      </c>
      <c r="B304" s="109">
        <v>2012</v>
      </c>
      <c r="C304" s="117" t="s">
        <v>138</v>
      </c>
      <c r="D304" s="9" t="s">
        <v>108</v>
      </c>
      <c r="E304" s="9" t="s">
        <v>23</v>
      </c>
      <c r="F304" s="9" t="s">
        <v>41</v>
      </c>
      <c r="G304" s="4" t="s">
        <v>49</v>
      </c>
      <c r="H304" s="17">
        <v>40996</v>
      </c>
      <c r="I304" s="17"/>
      <c r="J304" s="18"/>
      <c r="K304" s="122"/>
      <c r="L304" s="122"/>
      <c r="M304" s="122"/>
      <c r="N304" s="122"/>
      <c r="O304" s="122"/>
      <c r="P304" s="122"/>
      <c r="Q304" s="122"/>
      <c r="R304" s="122"/>
      <c r="S304" s="122"/>
      <c r="T304" s="122"/>
      <c r="U304" s="122"/>
      <c r="V304" s="123"/>
      <c r="W304" s="122"/>
      <c r="X304" s="122"/>
      <c r="Y304" s="122"/>
      <c r="Z304" s="122"/>
      <c r="AG304" s="124">
        <v>1.5</v>
      </c>
      <c r="AH304" s="122">
        <v>48</v>
      </c>
      <c r="AI304" s="122"/>
      <c r="AJ304" s="122">
        <v>32</v>
      </c>
      <c r="AK304" s="1" t="s">
        <v>3</v>
      </c>
      <c r="AL304" s="122"/>
      <c r="AM304" s="122"/>
      <c r="AN304" s="122"/>
      <c r="AO304" s="122"/>
      <c r="AP304" s="122"/>
      <c r="AQ304" s="122"/>
      <c r="AR304" s="122"/>
    </row>
    <row r="305" spans="1:44">
      <c r="A305" s="75">
        <v>304</v>
      </c>
      <c r="B305" s="109">
        <v>2012</v>
      </c>
      <c r="C305" s="117" t="s">
        <v>138</v>
      </c>
      <c r="D305" s="9" t="s">
        <v>108</v>
      </c>
      <c r="E305" s="9" t="s">
        <v>24</v>
      </c>
      <c r="F305" s="9" t="s">
        <v>42</v>
      </c>
      <c r="G305" s="9"/>
      <c r="H305" s="17">
        <v>40997</v>
      </c>
      <c r="I305" s="17"/>
      <c r="J305" s="18"/>
      <c r="K305" s="122"/>
      <c r="L305" s="122"/>
      <c r="M305" s="122"/>
      <c r="N305" s="122"/>
      <c r="O305" s="122"/>
      <c r="P305" s="122"/>
      <c r="Q305" s="122"/>
      <c r="R305" s="122"/>
      <c r="S305" s="122"/>
      <c r="T305" s="122"/>
      <c r="U305" s="122"/>
      <c r="V305" s="123"/>
      <c r="W305" s="122"/>
      <c r="X305" s="122"/>
      <c r="Y305" s="122"/>
      <c r="Z305" s="122"/>
      <c r="AG305" s="124">
        <v>1.5</v>
      </c>
      <c r="AH305" s="122"/>
      <c r="AI305" s="122"/>
      <c r="AJ305" s="122"/>
      <c r="AL305" s="122"/>
      <c r="AM305" s="122"/>
      <c r="AN305" s="122"/>
      <c r="AO305" s="122"/>
      <c r="AP305" s="122"/>
      <c r="AQ305" s="122"/>
      <c r="AR305" s="122"/>
    </row>
    <row r="306" spans="1:44">
      <c r="A306" s="75">
        <v>305</v>
      </c>
      <c r="B306" s="109">
        <v>2012</v>
      </c>
      <c r="C306" s="117" t="s">
        <v>138</v>
      </c>
      <c r="D306" s="9" t="s">
        <v>108</v>
      </c>
      <c r="E306" s="9" t="s">
        <v>17</v>
      </c>
      <c r="F306" s="9" t="s">
        <v>34</v>
      </c>
      <c r="G306" s="33" t="s">
        <v>21</v>
      </c>
      <c r="H306" s="17">
        <v>41024</v>
      </c>
      <c r="I306" s="17"/>
      <c r="J306" s="18"/>
      <c r="K306" s="122">
        <v>270</v>
      </c>
      <c r="L306" s="122">
        <v>135</v>
      </c>
      <c r="M306" s="122">
        <v>135</v>
      </c>
      <c r="N306" s="122">
        <v>0</v>
      </c>
      <c r="O306" s="122">
        <v>0</v>
      </c>
      <c r="P306" s="122">
        <f>AJ306</f>
        <v>100</v>
      </c>
      <c r="Q306" s="122">
        <f>N306*P306/1000</f>
        <v>0</v>
      </c>
      <c r="R306" s="122">
        <f>P306*K306/1000</f>
        <v>27</v>
      </c>
      <c r="S306" s="122"/>
      <c r="T306" s="122">
        <f>$AJ306*1000*$AN306*0.01*$N306*0.001</f>
        <v>0</v>
      </c>
      <c r="U306" s="122">
        <f>$AJ306*$AN306*0.01*$K306*0.001</f>
        <v>27</v>
      </c>
      <c r="V306" s="123"/>
      <c r="W306" s="122"/>
      <c r="X306" s="122"/>
      <c r="Y306" s="122"/>
      <c r="Z306" s="122"/>
      <c r="AG306" s="124">
        <v>1.5</v>
      </c>
      <c r="AH306" s="122">
        <v>150</v>
      </c>
      <c r="AI306" s="122"/>
      <c r="AJ306" s="122">
        <f>AH306/AG306</f>
        <v>100</v>
      </c>
      <c r="AK306" s="1" t="s">
        <v>3</v>
      </c>
      <c r="AL306" s="122"/>
      <c r="AM306" s="122"/>
      <c r="AN306" s="122">
        <v>100</v>
      </c>
      <c r="AO306" s="122">
        <v>27.540000915527344</v>
      </c>
      <c r="AP306" s="122">
        <v>0</v>
      </c>
      <c r="AQ306" s="122">
        <v>0</v>
      </c>
      <c r="AR306" s="122">
        <v>0</v>
      </c>
    </row>
    <row r="307" spans="1:44">
      <c r="A307" s="75">
        <v>306</v>
      </c>
      <c r="B307" s="109">
        <v>2012</v>
      </c>
      <c r="C307" s="117" t="s">
        <v>138</v>
      </c>
      <c r="D307" s="9" t="s">
        <v>108</v>
      </c>
      <c r="E307" s="9" t="s">
        <v>25</v>
      </c>
      <c r="F307" s="9" t="s">
        <v>35</v>
      </c>
      <c r="G307" s="9" t="s">
        <v>36</v>
      </c>
      <c r="H307" s="17">
        <v>41078</v>
      </c>
      <c r="I307" s="17">
        <v>41078</v>
      </c>
      <c r="J307" s="18">
        <v>1</v>
      </c>
      <c r="K307" s="122"/>
      <c r="L307" s="122"/>
      <c r="M307" s="122"/>
      <c r="N307" s="122"/>
      <c r="O307" s="122"/>
      <c r="P307" s="122"/>
      <c r="Q307" s="122"/>
      <c r="R307" s="122"/>
      <c r="S307" s="122">
        <f>AJ307*AN307</f>
        <v>498.26666666666665</v>
      </c>
      <c r="T307" s="122">
        <f>$S307*0.4089</f>
        <v>203.74123999999998</v>
      </c>
      <c r="U307" s="122">
        <f>$S307*0.0263</f>
        <v>13.104413333333333</v>
      </c>
      <c r="V307" s="123"/>
      <c r="W307" s="122"/>
      <c r="X307" s="122"/>
      <c r="Y307" s="122"/>
      <c r="Z307" s="122"/>
      <c r="AG307" s="124">
        <v>1.5</v>
      </c>
      <c r="AH307" s="122">
        <v>20.2</v>
      </c>
      <c r="AI307" s="122"/>
      <c r="AJ307" s="122">
        <v>13.466666666666667</v>
      </c>
      <c r="AK307" s="1" t="s">
        <v>83</v>
      </c>
      <c r="AL307" s="122"/>
      <c r="AM307" s="122"/>
      <c r="AN307" s="122">
        <v>37</v>
      </c>
      <c r="AO307" s="122"/>
      <c r="AP307" s="122"/>
      <c r="AQ307" s="122"/>
      <c r="AR307" s="122"/>
    </row>
    <row r="308" spans="1:44">
      <c r="A308" s="75">
        <v>307</v>
      </c>
      <c r="B308" s="109">
        <v>2012</v>
      </c>
      <c r="C308" s="117" t="s">
        <v>138</v>
      </c>
      <c r="D308" s="9" t="s">
        <v>108</v>
      </c>
      <c r="E308" s="9" t="s">
        <v>26</v>
      </c>
      <c r="F308" s="9" t="s">
        <v>39</v>
      </c>
      <c r="G308" s="9" t="s">
        <v>123</v>
      </c>
      <c r="H308" s="17">
        <v>41079</v>
      </c>
      <c r="I308" s="17"/>
      <c r="J308" s="18"/>
      <c r="K308" s="122"/>
      <c r="L308" s="122"/>
      <c r="M308" s="122"/>
      <c r="N308" s="122"/>
      <c r="O308" s="122"/>
      <c r="P308" s="122"/>
      <c r="Q308" s="122"/>
      <c r="R308" s="122"/>
      <c r="S308" s="122"/>
      <c r="T308" s="122"/>
      <c r="U308" s="122"/>
      <c r="V308" s="123"/>
      <c r="W308" s="122"/>
      <c r="X308" s="122"/>
      <c r="Y308" s="122"/>
      <c r="Z308" s="122"/>
      <c r="AG308" s="124">
        <v>1.5</v>
      </c>
      <c r="AH308" s="122">
        <v>10.5</v>
      </c>
      <c r="AI308" s="122"/>
      <c r="AJ308" s="122">
        <v>7</v>
      </c>
      <c r="AK308" s="1" t="s">
        <v>3</v>
      </c>
      <c r="AL308" s="122"/>
      <c r="AM308" s="122"/>
      <c r="AN308" s="122"/>
      <c r="AO308" s="122"/>
      <c r="AP308" s="122"/>
      <c r="AQ308" s="122"/>
      <c r="AR308" s="122"/>
    </row>
    <row r="309" spans="1:44">
      <c r="A309" s="75">
        <v>308</v>
      </c>
      <c r="B309" s="109">
        <v>2012</v>
      </c>
      <c r="C309" s="117" t="s">
        <v>138</v>
      </c>
      <c r="D309" s="9" t="s">
        <v>108</v>
      </c>
      <c r="E309" s="9" t="s">
        <v>17</v>
      </c>
      <c r="F309" s="9" t="s">
        <v>37</v>
      </c>
      <c r="G309" s="9" t="s">
        <v>48</v>
      </c>
      <c r="H309" s="17">
        <v>41086</v>
      </c>
      <c r="I309" s="17"/>
      <c r="J309" s="18"/>
      <c r="K309" s="122">
        <v>100.2</v>
      </c>
      <c r="L309" s="122">
        <v>69.5</v>
      </c>
      <c r="M309" s="1">
        <v>0.02</v>
      </c>
      <c r="N309" s="122">
        <v>321.72000000000003</v>
      </c>
      <c r="O309" s="122">
        <v>3.21</v>
      </c>
      <c r="P309" s="122">
        <f>AJ309*1000*AN309/100</f>
        <v>183.946</v>
      </c>
      <c r="Q309" s="122">
        <f>N309*P309/1000</f>
        <v>59.179107120000005</v>
      </c>
      <c r="R309" s="122">
        <f>K309*P309/1000</f>
        <v>18.431389200000002</v>
      </c>
      <c r="S309" s="122"/>
      <c r="T309" s="122">
        <f>$AJ309*1000*$AN309*0.01*$N309*0.001</f>
        <v>59.179107120000012</v>
      </c>
      <c r="U309" s="122">
        <f>$AJ309*1000*$AN309*0.01*$K309*0.001</f>
        <v>18.431389200000002</v>
      </c>
      <c r="V309" s="123"/>
      <c r="W309" s="122"/>
      <c r="X309" s="122"/>
      <c r="Y309" s="122"/>
      <c r="Z309" s="122"/>
      <c r="AG309" s="124">
        <v>1.5</v>
      </c>
      <c r="AH309" s="125">
        <v>28.16</v>
      </c>
      <c r="AI309" s="125"/>
      <c r="AJ309" s="125">
        <v>18.77</v>
      </c>
      <c r="AK309" s="1" t="s">
        <v>5</v>
      </c>
      <c r="AL309" s="122"/>
      <c r="AM309" s="122"/>
      <c r="AN309" s="122">
        <v>0.98</v>
      </c>
      <c r="AO309" s="122">
        <v>29.1</v>
      </c>
      <c r="AP309" s="122">
        <v>20.7</v>
      </c>
      <c r="AQ309" s="122">
        <v>52.6</v>
      </c>
      <c r="AR309" s="122">
        <v>4.7</v>
      </c>
    </row>
    <row r="310" spans="1:44">
      <c r="A310" s="75">
        <v>309</v>
      </c>
      <c r="B310" s="109">
        <v>2012</v>
      </c>
      <c r="C310" s="117" t="s">
        <v>138</v>
      </c>
      <c r="D310" s="9" t="s">
        <v>108</v>
      </c>
      <c r="E310" s="9" t="s">
        <v>25</v>
      </c>
      <c r="F310" s="9" t="s">
        <v>35</v>
      </c>
      <c r="G310" s="9" t="s">
        <v>36</v>
      </c>
      <c r="H310" s="17">
        <v>41099</v>
      </c>
      <c r="I310" s="17"/>
      <c r="J310" s="18">
        <v>2</v>
      </c>
      <c r="K310" s="122"/>
      <c r="L310" s="122"/>
      <c r="M310" s="122"/>
      <c r="N310" s="122"/>
      <c r="O310" s="122"/>
      <c r="P310" s="122"/>
      <c r="Q310" s="122"/>
      <c r="R310" s="122"/>
      <c r="S310" s="122">
        <f>AJ310*AN310</f>
        <v>498.26666666666665</v>
      </c>
      <c r="T310" s="122">
        <f>$S310*0.4089</f>
        <v>203.74123999999998</v>
      </c>
      <c r="U310" s="122">
        <f>$S310*0.0263</f>
        <v>13.104413333333333</v>
      </c>
      <c r="V310" s="123"/>
      <c r="W310" s="122"/>
      <c r="X310" s="122"/>
      <c r="Y310" s="122"/>
      <c r="Z310" s="122"/>
      <c r="AG310" s="124">
        <v>1.5</v>
      </c>
      <c r="AH310" s="122">
        <v>20.2</v>
      </c>
      <c r="AI310" s="122"/>
      <c r="AJ310" s="122">
        <v>13.466666666666667</v>
      </c>
      <c r="AK310" s="1" t="s">
        <v>83</v>
      </c>
      <c r="AL310" s="122"/>
      <c r="AM310" s="122"/>
      <c r="AN310" s="122">
        <v>37</v>
      </c>
      <c r="AO310" s="122"/>
      <c r="AP310" s="122"/>
      <c r="AQ310" s="122"/>
      <c r="AR310" s="122"/>
    </row>
    <row r="311" spans="1:44">
      <c r="A311" s="75">
        <v>310</v>
      </c>
      <c r="B311" s="109">
        <v>2012</v>
      </c>
      <c r="C311" s="117" t="s">
        <v>138</v>
      </c>
      <c r="D311" s="9" t="s">
        <v>108</v>
      </c>
      <c r="E311" s="9" t="s">
        <v>25</v>
      </c>
      <c r="F311" s="9" t="s">
        <v>35</v>
      </c>
      <c r="G311" s="9" t="s">
        <v>36</v>
      </c>
      <c r="H311" s="17">
        <v>41102</v>
      </c>
      <c r="I311" s="17"/>
      <c r="J311" s="18">
        <v>2</v>
      </c>
      <c r="K311" s="122"/>
      <c r="L311" s="122"/>
      <c r="M311" s="122"/>
      <c r="N311" s="122"/>
      <c r="O311" s="122"/>
      <c r="P311" s="122"/>
      <c r="Q311" s="122"/>
      <c r="R311" s="122"/>
      <c r="S311" s="122">
        <f>AJ311*AN311</f>
        <v>226.44</v>
      </c>
      <c r="T311" s="122">
        <f>$S311*0.4089</f>
        <v>92.591315999999992</v>
      </c>
      <c r="U311" s="122">
        <f>$S311*0.0263</f>
        <v>5.9553719999999997</v>
      </c>
      <c r="V311" s="123"/>
      <c r="W311" s="122"/>
      <c r="X311" s="122"/>
      <c r="Y311" s="122"/>
      <c r="Z311" s="122"/>
      <c r="AG311" s="124">
        <v>1.5</v>
      </c>
      <c r="AH311" s="122">
        <v>9.18</v>
      </c>
      <c r="AI311" s="122"/>
      <c r="AJ311" s="122">
        <v>6.12</v>
      </c>
      <c r="AK311" s="1" t="s">
        <v>83</v>
      </c>
      <c r="AL311" s="122"/>
      <c r="AM311" s="122"/>
      <c r="AN311" s="122">
        <v>37</v>
      </c>
      <c r="AO311" s="122"/>
      <c r="AP311" s="122"/>
      <c r="AQ311" s="122"/>
      <c r="AR311" s="122"/>
    </row>
    <row r="312" spans="1:44">
      <c r="A312" s="75">
        <v>311</v>
      </c>
      <c r="B312" s="109">
        <v>2012</v>
      </c>
      <c r="C312" s="117" t="s">
        <v>138</v>
      </c>
      <c r="D312" s="9" t="s">
        <v>108</v>
      </c>
      <c r="E312" s="9" t="s">
        <v>17</v>
      </c>
      <c r="F312" s="9" t="s">
        <v>37</v>
      </c>
      <c r="G312" s="9" t="s">
        <v>48</v>
      </c>
      <c r="H312" s="17">
        <v>41103</v>
      </c>
      <c r="I312" s="17"/>
      <c r="J312" s="18"/>
      <c r="K312" s="122">
        <v>92.88</v>
      </c>
      <c r="L312" s="122">
        <v>46.2</v>
      </c>
      <c r="M312" s="1">
        <v>0.03</v>
      </c>
      <c r="N312" s="122">
        <v>372.03</v>
      </c>
      <c r="O312" s="122">
        <v>4.01</v>
      </c>
      <c r="P312" s="122">
        <f>AJ312*1000*AN312/100</f>
        <v>341.61400000000003</v>
      </c>
      <c r="Q312" s="122">
        <f>N312*P312/1000</f>
        <v>127.09065642</v>
      </c>
      <c r="R312" s="122">
        <f>K312*P312/1000</f>
        <v>31.729108320000002</v>
      </c>
      <c r="S312" s="122"/>
      <c r="T312" s="122">
        <f>$AJ312*1000*$AN312*0.01*$N312*0.001</f>
        <v>127.09065642</v>
      </c>
      <c r="U312" s="122">
        <f>$AJ312*1000*$AN312*0.01*$K312*0.001</f>
        <v>31.729108320000005</v>
      </c>
      <c r="V312" s="123"/>
      <c r="W312" s="122"/>
      <c r="X312" s="122"/>
      <c r="Y312" s="122"/>
      <c r="Z312" s="122"/>
      <c r="AG312" s="124">
        <v>1.5</v>
      </c>
      <c r="AH312" s="125">
        <v>28.16</v>
      </c>
      <c r="AI312" s="125"/>
      <c r="AJ312" s="125">
        <v>18.77</v>
      </c>
      <c r="AK312" s="1" t="s">
        <v>5</v>
      </c>
      <c r="AL312" s="122"/>
      <c r="AM312" s="122"/>
      <c r="AN312" s="122">
        <v>1.82</v>
      </c>
      <c r="AO312" s="122">
        <v>29.1</v>
      </c>
      <c r="AP312" s="122">
        <v>20.7</v>
      </c>
      <c r="AQ312" s="122">
        <v>52.6</v>
      </c>
      <c r="AR312" s="122">
        <v>4.7</v>
      </c>
    </row>
    <row r="313" spans="1:44">
      <c r="A313" s="75">
        <v>312</v>
      </c>
      <c r="B313" s="109">
        <v>2012</v>
      </c>
      <c r="C313" s="117" t="s">
        <v>138</v>
      </c>
      <c r="D313" s="9" t="s">
        <v>108</v>
      </c>
      <c r="E313" s="9" t="s">
        <v>26</v>
      </c>
      <c r="F313" s="9" t="s">
        <v>33</v>
      </c>
      <c r="G313" s="34" t="s">
        <v>122</v>
      </c>
      <c r="H313" s="17">
        <v>41107</v>
      </c>
      <c r="I313" s="17"/>
      <c r="J313" s="18"/>
      <c r="K313" s="122"/>
      <c r="L313" s="122"/>
      <c r="M313" s="122"/>
      <c r="N313" s="122"/>
      <c r="O313" s="122"/>
      <c r="P313" s="122"/>
      <c r="Q313" s="122"/>
      <c r="R313" s="122"/>
      <c r="S313" s="122"/>
      <c r="T313" s="122"/>
      <c r="U313" s="122"/>
      <c r="V313" s="123"/>
      <c r="W313" s="122"/>
      <c r="X313" s="122"/>
      <c r="Y313" s="122"/>
      <c r="Z313" s="122"/>
      <c r="AG313" s="124">
        <v>1.5</v>
      </c>
      <c r="AH313" s="125">
        <v>4</v>
      </c>
      <c r="AI313" s="125"/>
      <c r="AJ313" s="125">
        <v>2.67</v>
      </c>
      <c r="AK313" s="1" t="s">
        <v>7</v>
      </c>
      <c r="AL313" s="122"/>
      <c r="AM313" s="122"/>
      <c r="AN313" s="122"/>
      <c r="AO313" s="122"/>
      <c r="AP313" s="122"/>
      <c r="AQ313" s="122"/>
      <c r="AR313" s="122"/>
    </row>
    <row r="314" spans="1:44">
      <c r="A314" s="75">
        <v>313</v>
      </c>
      <c r="B314" s="109">
        <v>2012</v>
      </c>
      <c r="C314" s="117" t="s">
        <v>138</v>
      </c>
      <c r="D314" s="9" t="s">
        <v>108</v>
      </c>
      <c r="E314" s="9" t="s">
        <v>25</v>
      </c>
      <c r="F314" s="9" t="s">
        <v>35</v>
      </c>
      <c r="G314" s="33" t="s">
        <v>43</v>
      </c>
      <c r="H314" s="17">
        <v>41128</v>
      </c>
      <c r="I314" s="17"/>
      <c r="J314" s="18">
        <v>3</v>
      </c>
      <c r="K314" s="122"/>
      <c r="L314" s="122"/>
      <c r="M314" s="122"/>
      <c r="N314" s="122"/>
      <c r="O314" s="122"/>
      <c r="P314" s="122"/>
      <c r="Q314" s="122"/>
      <c r="R314" s="122"/>
      <c r="S314" s="122">
        <f>AJ314*AN314</f>
        <v>1714.0666666666666</v>
      </c>
      <c r="T314" s="122">
        <f>$S314*0.4089</f>
        <v>700.88185999999996</v>
      </c>
      <c r="U314" s="122">
        <f>$S314*0.0263</f>
        <v>45.079953333333336</v>
      </c>
      <c r="V314" s="123"/>
      <c r="W314" s="122"/>
      <c r="X314" s="122"/>
      <c r="Y314" s="122"/>
      <c r="Z314" s="122"/>
      <c r="AG314" s="124">
        <v>1.5</v>
      </c>
      <c r="AH314" s="122">
        <v>36.729999999999997</v>
      </c>
      <c r="AI314" s="122"/>
      <c r="AJ314" s="122">
        <v>24.486666666666665</v>
      </c>
      <c r="AK314" s="1" t="s">
        <v>83</v>
      </c>
      <c r="AL314" s="122"/>
      <c r="AM314" s="122"/>
      <c r="AN314" s="122">
        <v>70</v>
      </c>
      <c r="AO314" s="122"/>
      <c r="AP314" s="122"/>
      <c r="AQ314" s="122"/>
      <c r="AR314" s="122"/>
    </row>
    <row r="315" spans="1:44">
      <c r="A315" s="75">
        <v>314</v>
      </c>
      <c r="B315" s="109">
        <v>2012</v>
      </c>
      <c r="C315" s="117" t="s">
        <v>138</v>
      </c>
      <c r="D315" s="9" t="s">
        <v>108</v>
      </c>
      <c r="E315" s="9" t="s">
        <v>17</v>
      </c>
      <c r="F315" s="9" t="s">
        <v>37</v>
      </c>
      <c r="G315" s="9" t="s">
        <v>48</v>
      </c>
      <c r="H315" s="17">
        <v>41137</v>
      </c>
      <c r="I315" s="17"/>
      <c r="J315" s="18"/>
      <c r="K315" s="122">
        <v>79.790000000000006</v>
      </c>
      <c r="L315" s="122">
        <v>40.299999999999997</v>
      </c>
      <c r="M315" s="1">
        <v>0.1</v>
      </c>
      <c r="N315" s="122">
        <v>381.17</v>
      </c>
      <c r="O315" s="122">
        <v>4.78</v>
      </c>
      <c r="P315" s="122">
        <f>AJ315*1000*AN315/100</f>
        <v>550.47900000000004</v>
      </c>
      <c r="Q315" s="122">
        <f>N315*P315/1000</f>
        <v>209.82608043000002</v>
      </c>
      <c r="R315" s="122">
        <f>K315*P315/1000</f>
        <v>43.922719410000006</v>
      </c>
      <c r="S315" s="122"/>
      <c r="T315" s="122">
        <f>$AJ315*1000*$AN315*0.01*$N315*0.001</f>
        <v>209.82608043000005</v>
      </c>
      <c r="U315" s="122">
        <f>$AJ315*1000*$AN315*0.01*$K315*0.001</f>
        <v>43.922719410000006</v>
      </c>
      <c r="V315" s="123"/>
      <c r="W315" s="122"/>
      <c r="X315" s="122"/>
      <c r="Y315" s="122"/>
      <c r="Z315" s="122"/>
      <c r="AG315" s="124">
        <v>1.5</v>
      </c>
      <c r="AH315" s="125">
        <v>29.39</v>
      </c>
      <c r="AI315" s="125"/>
      <c r="AJ315" s="125">
        <v>19.59</v>
      </c>
      <c r="AK315" s="1" t="s">
        <v>5</v>
      </c>
      <c r="AL315" s="122"/>
      <c r="AM315" s="122"/>
      <c r="AN315" s="122">
        <v>2.81</v>
      </c>
      <c r="AO315" s="122">
        <v>30.4</v>
      </c>
      <c r="AP315" s="122">
        <v>21.6</v>
      </c>
      <c r="AQ315" s="122">
        <v>54.9</v>
      </c>
      <c r="AR315" s="122">
        <v>4.9000000000000004</v>
      </c>
    </row>
    <row r="316" spans="1:44">
      <c r="A316" s="75">
        <v>315</v>
      </c>
      <c r="B316" s="110">
        <v>2012</v>
      </c>
      <c r="C316" s="117" t="s">
        <v>138</v>
      </c>
      <c r="D316" s="9" t="s">
        <v>108</v>
      </c>
      <c r="E316" s="9" t="s">
        <v>25</v>
      </c>
      <c r="F316" s="9" t="s">
        <v>35</v>
      </c>
      <c r="G316" s="9" t="s">
        <v>36</v>
      </c>
      <c r="H316" s="19">
        <v>41148</v>
      </c>
      <c r="I316" s="19"/>
      <c r="J316" s="18">
        <v>4</v>
      </c>
      <c r="K316" s="122"/>
      <c r="L316" s="122"/>
      <c r="M316" s="122"/>
      <c r="N316" s="122"/>
      <c r="O316" s="122"/>
      <c r="P316" s="122"/>
      <c r="Q316" s="122"/>
      <c r="R316" s="122"/>
      <c r="S316" s="122">
        <f>AJ316*AN316</f>
        <v>736.30000000000007</v>
      </c>
      <c r="T316" s="122">
        <f>$S316*0.4089</f>
        <v>301.07307000000003</v>
      </c>
      <c r="U316" s="122">
        <f>$S316*0.0263</f>
        <v>19.364690000000003</v>
      </c>
      <c r="V316" s="123"/>
      <c r="W316" s="122"/>
      <c r="X316" s="122"/>
      <c r="Y316" s="122"/>
      <c r="Z316" s="122"/>
      <c r="AG316" s="124">
        <v>1.5</v>
      </c>
      <c r="AH316" s="122">
        <v>29.85</v>
      </c>
      <c r="AI316" s="122"/>
      <c r="AJ316" s="122">
        <v>19.900000000000002</v>
      </c>
      <c r="AK316" s="1" t="s">
        <v>83</v>
      </c>
      <c r="AL316" s="122"/>
      <c r="AM316" s="122"/>
      <c r="AN316" s="122">
        <v>37</v>
      </c>
      <c r="AO316" s="122"/>
      <c r="AP316" s="122"/>
      <c r="AQ316" s="122"/>
      <c r="AR316" s="122"/>
    </row>
    <row r="317" spans="1:44">
      <c r="A317" s="75">
        <v>316</v>
      </c>
      <c r="B317" s="109">
        <v>2012</v>
      </c>
      <c r="C317" s="117" t="s">
        <v>138</v>
      </c>
      <c r="D317" s="9" t="s">
        <v>108</v>
      </c>
      <c r="E317" s="9" t="s">
        <v>17</v>
      </c>
      <c r="F317" s="9" t="s">
        <v>37</v>
      </c>
      <c r="G317" s="9" t="s">
        <v>48</v>
      </c>
      <c r="H317" s="17">
        <v>41157</v>
      </c>
      <c r="I317" s="17"/>
      <c r="J317" s="18"/>
      <c r="K317" s="122">
        <v>57.78</v>
      </c>
      <c r="L317" s="122">
        <v>31</v>
      </c>
      <c r="M317" s="125" t="s">
        <v>62</v>
      </c>
      <c r="N317" s="122">
        <v>406.27</v>
      </c>
      <c r="O317" s="122">
        <v>7.03</v>
      </c>
      <c r="P317" s="122">
        <f>AJ317*1000*AN317/100</f>
        <v>695.44500000000005</v>
      </c>
      <c r="Q317" s="122">
        <f>N317*P317/1000</f>
        <v>282.53844014999999</v>
      </c>
      <c r="R317" s="122">
        <f>K317*P317/1000</f>
        <v>40.1828121</v>
      </c>
      <c r="S317" s="122"/>
      <c r="T317" s="122">
        <f>$AJ317*1000*$AN317*0.01*$N317*0.001</f>
        <v>282.53844014999999</v>
      </c>
      <c r="U317" s="122">
        <f>$AJ317*1000*$AN317*0.01*$K317*0.001</f>
        <v>40.182812100000007</v>
      </c>
      <c r="V317" s="123"/>
      <c r="W317" s="122"/>
      <c r="X317" s="122"/>
      <c r="Y317" s="122"/>
      <c r="Z317" s="122"/>
      <c r="AG317" s="124">
        <v>1.5</v>
      </c>
      <c r="AH317" s="125">
        <v>29.39</v>
      </c>
      <c r="AI317" s="125"/>
      <c r="AJ317" s="125">
        <v>19.59</v>
      </c>
      <c r="AK317" s="1" t="s">
        <v>5</v>
      </c>
      <c r="AL317" s="122"/>
      <c r="AM317" s="122"/>
      <c r="AN317" s="122">
        <v>3.55</v>
      </c>
      <c r="AO317" s="122">
        <v>30.4</v>
      </c>
      <c r="AP317" s="122">
        <v>21.6</v>
      </c>
      <c r="AQ317" s="122">
        <v>54.9</v>
      </c>
      <c r="AR317" s="122">
        <v>4.9000000000000004</v>
      </c>
    </row>
    <row r="318" spans="1:44">
      <c r="A318" s="75">
        <v>317</v>
      </c>
      <c r="B318" s="109">
        <v>2012</v>
      </c>
      <c r="C318" s="117" t="s">
        <v>138</v>
      </c>
      <c r="D318" s="9" t="s">
        <v>108</v>
      </c>
      <c r="E318" s="9" t="s">
        <v>26</v>
      </c>
      <c r="F318" s="9" t="s">
        <v>33</v>
      </c>
      <c r="G318" s="9" t="s">
        <v>121</v>
      </c>
      <c r="H318" s="17">
        <v>41158</v>
      </c>
      <c r="I318" s="17"/>
      <c r="J318" s="18"/>
      <c r="K318" s="122"/>
      <c r="L318" s="122"/>
      <c r="M318" s="122"/>
      <c r="N318" s="122"/>
      <c r="O318" s="122"/>
      <c r="P318" s="122"/>
      <c r="Q318" s="122"/>
      <c r="R318" s="122"/>
      <c r="S318" s="122"/>
      <c r="T318" s="122"/>
      <c r="U318" s="122"/>
      <c r="V318" s="123"/>
      <c r="W318" s="122"/>
      <c r="X318" s="122"/>
      <c r="Y318" s="122"/>
      <c r="Z318" s="122"/>
      <c r="AG318" s="124">
        <v>1.5</v>
      </c>
      <c r="AH318" s="122">
        <v>6</v>
      </c>
      <c r="AI318" s="122"/>
      <c r="AJ318" s="122">
        <v>4</v>
      </c>
      <c r="AK318" s="1" t="s">
        <v>6</v>
      </c>
      <c r="AL318" s="122"/>
      <c r="AM318" s="122"/>
      <c r="AN318" s="122"/>
      <c r="AO318" s="122"/>
      <c r="AP318" s="122"/>
      <c r="AQ318" s="122"/>
      <c r="AR318" s="122"/>
    </row>
    <row r="319" spans="1:44">
      <c r="A319" s="75">
        <v>318</v>
      </c>
      <c r="B319" s="109">
        <v>2012</v>
      </c>
      <c r="C319" s="117" t="s">
        <v>138</v>
      </c>
      <c r="D319" s="9" t="s">
        <v>108</v>
      </c>
      <c r="E319" s="9" t="s">
        <v>25</v>
      </c>
      <c r="F319" s="9" t="s">
        <v>35</v>
      </c>
      <c r="G319" s="9" t="s">
        <v>36</v>
      </c>
      <c r="H319" s="17">
        <v>41186</v>
      </c>
      <c r="I319" s="17"/>
      <c r="J319" s="18">
        <v>5</v>
      </c>
      <c r="K319" s="122"/>
      <c r="L319" s="122"/>
      <c r="M319" s="122"/>
      <c r="N319" s="122"/>
      <c r="O319" s="122"/>
      <c r="P319" s="122"/>
      <c r="Q319" s="122"/>
      <c r="R319" s="122"/>
      <c r="S319" s="122">
        <f>AJ319*AN319</f>
        <v>340.03</v>
      </c>
      <c r="T319" s="122">
        <f>$S319*0.4089</f>
        <v>139.03826699999999</v>
      </c>
      <c r="U319" s="122">
        <f>$S319*0.0263</f>
        <v>8.9427889999999994</v>
      </c>
      <c r="V319" s="123"/>
      <c r="W319" s="122"/>
      <c r="X319" s="122"/>
      <c r="Y319" s="122"/>
      <c r="Z319" s="122"/>
      <c r="AG319" s="124">
        <v>1.5</v>
      </c>
      <c r="AH319" s="122">
        <v>13.78</v>
      </c>
      <c r="AI319" s="122"/>
      <c r="AJ319" s="122">
        <v>9.19</v>
      </c>
      <c r="AK319" s="1" t="s">
        <v>83</v>
      </c>
      <c r="AL319" s="122"/>
      <c r="AM319" s="122"/>
      <c r="AN319" s="122">
        <v>37</v>
      </c>
      <c r="AO319" s="122"/>
      <c r="AP319" s="122"/>
      <c r="AQ319" s="122"/>
      <c r="AR319" s="122"/>
    </row>
    <row r="320" spans="1:44">
      <c r="A320" s="75">
        <v>319</v>
      </c>
      <c r="B320" s="109">
        <v>2012</v>
      </c>
      <c r="C320" s="118" t="s">
        <v>139</v>
      </c>
      <c r="D320" s="9" t="s">
        <v>108</v>
      </c>
      <c r="E320" s="9" t="s">
        <v>25</v>
      </c>
      <c r="F320" s="9" t="s">
        <v>29</v>
      </c>
      <c r="G320" s="9" t="s">
        <v>47</v>
      </c>
      <c r="H320" s="17">
        <v>40909</v>
      </c>
      <c r="I320" s="17">
        <v>40916</v>
      </c>
      <c r="J320" s="18"/>
      <c r="K320" s="122"/>
      <c r="L320" s="122"/>
      <c r="M320" s="122"/>
      <c r="N320" s="122"/>
      <c r="O320" s="122"/>
      <c r="P320" s="122"/>
      <c r="Q320" s="122"/>
      <c r="R320" s="122"/>
      <c r="S320" s="122">
        <f>AJ320*AM320*AL320</f>
        <v>107.14285714285714</v>
      </c>
      <c r="T320" s="122">
        <f>$S320*0.4089</f>
        <v>43.810714285714283</v>
      </c>
      <c r="U320" s="122">
        <f>$S320*0.0263</f>
        <v>2.8178571428571426</v>
      </c>
      <c r="V320" s="123"/>
      <c r="W320" s="122"/>
      <c r="X320" s="122"/>
      <c r="Y320" s="122"/>
      <c r="Z320" s="122"/>
      <c r="AG320" s="124">
        <v>3.4</v>
      </c>
      <c r="AH320" s="124">
        <f>50/4.9*AG320</f>
        <v>34.693877551020407</v>
      </c>
      <c r="AI320" s="124"/>
      <c r="AJ320" s="124">
        <f>AH320/AG320</f>
        <v>10.204081632653061</v>
      </c>
      <c r="AK320" s="1" t="s">
        <v>66</v>
      </c>
      <c r="AL320" s="122">
        <v>7</v>
      </c>
      <c r="AM320" s="122">
        <v>1.5</v>
      </c>
      <c r="AN320" s="122"/>
      <c r="AO320" s="122"/>
      <c r="AP320" s="122"/>
      <c r="AQ320" s="122"/>
      <c r="AR320" s="122"/>
    </row>
    <row r="321" spans="1:44">
      <c r="A321" s="75">
        <v>320</v>
      </c>
      <c r="B321" s="109">
        <v>2012</v>
      </c>
      <c r="C321" s="118" t="s">
        <v>139</v>
      </c>
      <c r="D321" s="9" t="s">
        <v>108</v>
      </c>
      <c r="E321" s="9" t="s">
        <v>17</v>
      </c>
      <c r="F321" s="9" t="s">
        <v>37</v>
      </c>
      <c r="G321" s="9" t="s">
        <v>46</v>
      </c>
      <c r="H321" s="17">
        <v>40924</v>
      </c>
      <c r="I321" s="17">
        <v>40926</v>
      </c>
      <c r="J321" s="18"/>
      <c r="K321" s="122">
        <v>32.07</v>
      </c>
      <c r="L321" s="122">
        <v>3.6</v>
      </c>
      <c r="M321" s="125" t="s">
        <v>62</v>
      </c>
      <c r="N321" s="122">
        <v>458.62</v>
      </c>
      <c r="O321" s="122">
        <v>14.3</v>
      </c>
      <c r="P321" s="122">
        <f>AJ321*1000*AN321/100</f>
        <v>3410.3144117647062</v>
      </c>
      <c r="Q321" s="122">
        <f>N321*P321/1000</f>
        <v>1564.0383955235295</v>
      </c>
      <c r="R321" s="122">
        <f>P321*K321/1000</f>
        <v>109.36878318529413</v>
      </c>
      <c r="S321" s="122"/>
      <c r="T321" s="122">
        <f>$AJ321*1000*$AN321*0.01*$N321*0.001</f>
        <v>1564.0383955235295</v>
      </c>
      <c r="U321" s="122">
        <f>$AJ321*1000*$AN321*0.01*$K321*0.001</f>
        <v>109.36878318529413</v>
      </c>
      <c r="V321" s="123"/>
      <c r="W321" s="122"/>
      <c r="X321" s="122"/>
      <c r="Y321" s="122"/>
      <c r="Z321" s="122"/>
      <c r="AG321" s="124">
        <v>3.4</v>
      </c>
      <c r="AH321" s="1">
        <v>69.39</v>
      </c>
      <c r="AI321" s="1"/>
      <c r="AJ321" s="124">
        <f>AH321/AG321</f>
        <v>20.408823529411766</v>
      </c>
      <c r="AK321" s="1" t="s">
        <v>2</v>
      </c>
      <c r="AL321" s="122"/>
      <c r="AM321" s="122"/>
      <c r="AN321" s="122">
        <v>16.71</v>
      </c>
      <c r="AO321" s="122">
        <v>27.5</v>
      </c>
      <c r="AP321" s="122">
        <v>46.9</v>
      </c>
      <c r="AQ321" s="122">
        <v>173.3</v>
      </c>
      <c r="AR321" s="122">
        <v>16.899999999999999</v>
      </c>
    </row>
    <row r="322" spans="1:44">
      <c r="A322" s="75">
        <v>321</v>
      </c>
      <c r="B322" s="109">
        <v>2012</v>
      </c>
      <c r="C322" s="118" t="s">
        <v>139</v>
      </c>
      <c r="D322" s="9" t="s">
        <v>108</v>
      </c>
      <c r="E322" s="9" t="s">
        <v>24</v>
      </c>
      <c r="F322" s="9" t="s">
        <v>40</v>
      </c>
      <c r="G322" s="9"/>
      <c r="H322" s="17">
        <v>40941</v>
      </c>
      <c r="I322" s="17"/>
      <c r="J322" s="18"/>
      <c r="K322" s="122"/>
      <c r="L322" s="122"/>
      <c r="M322" s="122"/>
      <c r="N322" s="122"/>
      <c r="O322" s="122"/>
      <c r="P322" s="122"/>
      <c r="Q322" s="122"/>
      <c r="R322" s="122"/>
      <c r="S322" s="122"/>
      <c r="T322" s="122"/>
      <c r="U322" s="122"/>
      <c r="V322" s="123"/>
      <c r="W322" s="122"/>
      <c r="X322" s="122"/>
      <c r="Y322" s="122"/>
      <c r="Z322" s="122"/>
      <c r="AG322" s="124">
        <v>3.4</v>
      </c>
      <c r="AH322" s="1"/>
      <c r="AI322" s="1"/>
      <c r="AJ322" s="124"/>
      <c r="AL322" s="122"/>
      <c r="AM322" s="122"/>
      <c r="AN322" s="122"/>
      <c r="AO322" s="122"/>
      <c r="AP322" s="122"/>
      <c r="AQ322" s="122"/>
      <c r="AR322" s="122"/>
    </row>
    <row r="323" spans="1:44">
      <c r="A323" s="75">
        <v>322</v>
      </c>
      <c r="B323" s="109">
        <v>2012</v>
      </c>
      <c r="C323" s="118" t="s">
        <v>139</v>
      </c>
      <c r="D323" s="9" t="s">
        <v>108</v>
      </c>
      <c r="E323" s="9" t="s">
        <v>24</v>
      </c>
      <c r="F323" s="9" t="s">
        <v>30</v>
      </c>
      <c r="G323" s="37" t="s">
        <v>128</v>
      </c>
      <c r="H323" s="17">
        <v>40996</v>
      </c>
      <c r="I323" s="17"/>
      <c r="J323" s="18"/>
      <c r="K323" s="122"/>
      <c r="L323" s="122"/>
      <c r="M323" s="122"/>
      <c r="N323" s="122"/>
      <c r="O323" s="122"/>
      <c r="P323" s="122"/>
      <c r="Q323" s="122"/>
      <c r="R323" s="122"/>
      <c r="S323" s="122"/>
      <c r="T323" s="122"/>
      <c r="U323" s="122"/>
      <c r="V323" s="123"/>
      <c r="W323" s="122"/>
      <c r="X323" s="122"/>
      <c r="Y323" s="122"/>
      <c r="Z323" s="122"/>
      <c r="AG323" s="124">
        <v>3.4</v>
      </c>
      <c r="AH323" s="1"/>
      <c r="AI323" s="1"/>
      <c r="AJ323" s="122"/>
      <c r="AL323" s="122"/>
      <c r="AM323" s="122"/>
      <c r="AN323" s="122"/>
      <c r="AO323" s="122"/>
      <c r="AP323" s="122"/>
      <c r="AQ323" s="122"/>
      <c r="AR323" s="122"/>
    </row>
    <row r="324" spans="1:44">
      <c r="A324" s="75">
        <v>323</v>
      </c>
      <c r="B324" s="109">
        <v>2012</v>
      </c>
      <c r="C324" s="118" t="s">
        <v>139</v>
      </c>
      <c r="D324" s="9" t="s">
        <v>108</v>
      </c>
      <c r="E324" s="9" t="s">
        <v>23</v>
      </c>
      <c r="F324" s="9" t="s">
        <v>41</v>
      </c>
      <c r="G324" s="4" t="s">
        <v>49</v>
      </c>
      <c r="H324" s="17">
        <v>40996</v>
      </c>
      <c r="I324" s="17"/>
      <c r="J324" s="18"/>
      <c r="K324" s="122"/>
      <c r="L324" s="122"/>
      <c r="M324" s="122"/>
      <c r="N324" s="122"/>
      <c r="O324" s="122"/>
      <c r="P324" s="122"/>
      <c r="Q324" s="122"/>
      <c r="R324" s="122"/>
      <c r="S324" s="122"/>
      <c r="T324" s="122"/>
      <c r="U324" s="122"/>
      <c r="V324" s="123"/>
      <c r="W324" s="122"/>
      <c r="X324" s="122"/>
      <c r="Y324" s="122"/>
      <c r="Z324" s="122"/>
      <c r="AG324" s="124">
        <v>3.4</v>
      </c>
      <c r="AH324" s="122">
        <v>108.8</v>
      </c>
      <c r="AI324" s="122"/>
      <c r="AJ324" s="122">
        <v>31.999999102424198</v>
      </c>
      <c r="AK324" s="1" t="s">
        <v>3</v>
      </c>
      <c r="AL324" s="122"/>
      <c r="AM324" s="122"/>
      <c r="AN324" s="122"/>
      <c r="AO324" s="122"/>
      <c r="AP324" s="122"/>
      <c r="AQ324" s="122"/>
      <c r="AR324" s="122"/>
    </row>
    <row r="325" spans="1:44">
      <c r="A325" s="75">
        <v>324</v>
      </c>
      <c r="B325" s="109">
        <v>2012</v>
      </c>
      <c r="C325" s="118" t="s">
        <v>139</v>
      </c>
      <c r="D325" s="9" t="s">
        <v>108</v>
      </c>
      <c r="E325" s="9" t="s">
        <v>24</v>
      </c>
      <c r="F325" s="9" t="s">
        <v>42</v>
      </c>
      <c r="G325" s="9"/>
      <c r="H325" s="17">
        <v>40997</v>
      </c>
      <c r="I325" s="17"/>
      <c r="J325" s="18"/>
      <c r="K325" s="122"/>
      <c r="L325" s="122"/>
      <c r="M325" s="122"/>
      <c r="N325" s="122"/>
      <c r="O325" s="122"/>
      <c r="P325" s="122"/>
      <c r="Q325" s="122"/>
      <c r="R325" s="122"/>
      <c r="S325" s="122"/>
      <c r="T325" s="122"/>
      <c r="U325" s="122"/>
      <c r="V325" s="123"/>
      <c r="W325" s="122"/>
      <c r="X325" s="122"/>
      <c r="Y325" s="122"/>
      <c r="Z325" s="122"/>
      <c r="AG325" s="124">
        <v>3.4</v>
      </c>
      <c r="AH325" s="1"/>
      <c r="AI325" s="1"/>
      <c r="AJ325" s="124"/>
      <c r="AL325" s="122"/>
      <c r="AM325" s="122"/>
      <c r="AN325" s="122"/>
      <c r="AO325" s="122"/>
      <c r="AP325" s="122"/>
      <c r="AQ325" s="122"/>
      <c r="AR325" s="122"/>
    </row>
    <row r="326" spans="1:44">
      <c r="A326" s="75">
        <v>325</v>
      </c>
      <c r="B326" s="109">
        <v>2012</v>
      </c>
      <c r="C326" s="118" t="s">
        <v>139</v>
      </c>
      <c r="D326" s="9" t="s">
        <v>108</v>
      </c>
      <c r="E326" s="9" t="s">
        <v>17</v>
      </c>
      <c r="F326" s="9" t="s">
        <v>34</v>
      </c>
      <c r="G326" s="33" t="s">
        <v>21</v>
      </c>
      <c r="H326" s="17">
        <v>41024</v>
      </c>
      <c r="I326" s="17"/>
      <c r="J326" s="18"/>
      <c r="K326" s="122">
        <v>270</v>
      </c>
      <c r="L326" s="122">
        <v>135</v>
      </c>
      <c r="M326" s="122">
        <v>135</v>
      </c>
      <c r="N326" s="122">
        <v>0</v>
      </c>
      <c r="O326" s="122">
        <v>0</v>
      </c>
      <c r="P326" s="122">
        <f>AJ326</f>
        <v>45</v>
      </c>
      <c r="Q326" s="122">
        <f>N326*P326/1000</f>
        <v>0</v>
      </c>
      <c r="R326" s="122">
        <f>P326*K326/1000</f>
        <v>12.15</v>
      </c>
      <c r="S326" s="122"/>
      <c r="T326" s="122">
        <f>$AJ326*1000*$AN326*0.01*$N326*0.001</f>
        <v>0</v>
      </c>
      <c r="U326" s="122">
        <f>$AJ326*$AN326*0.01*$K326*0.001</f>
        <v>12.15</v>
      </c>
      <c r="V326" s="123"/>
      <c r="W326" s="122"/>
      <c r="X326" s="122"/>
      <c r="Y326" s="122"/>
      <c r="Z326" s="122"/>
      <c r="AG326" s="124">
        <v>3.4</v>
      </c>
      <c r="AH326" s="122">
        <v>153</v>
      </c>
      <c r="AI326" s="122"/>
      <c r="AJ326" s="122">
        <f>AH326/AG326</f>
        <v>45</v>
      </c>
      <c r="AK326" s="1" t="s">
        <v>3</v>
      </c>
      <c r="AL326" s="122"/>
      <c r="AM326" s="122"/>
      <c r="AN326" s="122">
        <v>100</v>
      </c>
      <c r="AO326" s="122">
        <v>27.540000915527344</v>
      </c>
      <c r="AP326" s="122">
        <v>0</v>
      </c>
      <c r="AQ326" s="122">
        <v>0</v>
      </c>
      <c r="AR326" s="122">
        <v>0</v>
      </c>
    </row>
    <row r="327" spans="1:44">
      <c r="A327" s="75">
        <v>326</v>
      </c>
      <c r="B327" s="109">
        <v>2012</v>
      </c>
      <c r="C327" s="118" t="s">
        <v>139</v>
      </c>
      <c r="D327" s="9" t="s">
        <v>108</v>
      </c>
      <c r="E327" s="9" t="s">
        <v>25</v>
      </c>
      <c r="F327" s="9" t="s">
        <v>35</v>
      </c>
      <c r="G327" s="9" t="s">
        <v>36</v>
      </c>
      <c r="H327" s="17">
        <v>41078</v>
      </c>
      <c r="I327" s="17"/>
      <c r="J327" s="18">
        <v>1</v>
      </c>
      <c r="K327" s="122"/>
      <c r="L327" s="122"/>
      <c r="M327" s="122"/>
      <c r="N327" s="122"/>
      <c r="O327" s="122"/>
      <c r="P327" s="122"/>
      <c r="Q327" s="122"/>
      <c r="R327" s="122"/>
      <c r="S327" s="122">
        <f>AJ327*AN327</f>
        <v>498.41175072580916</v>
      </c>
      <c r="T327" s="122">
        <f>$S327*0.4089</f>
        <v>203.80056487178337</v>
      </c>
      <c r="U327" s="122">
        <f>$S327*0.0263</f>
        <v>13.10822904408878</v>
      </c>
      <c r="V327" s="123"/>
      <c r="W327" s="122"/>
      <c r="X327" s="122"/>
      <c r="Y327" s="122"/>
      <c r="Z327" s="122"/>
      <c r="AG327" s="124">
        <v>3.4</v>
      </c>
      <c r="AH327" s="122">
        <v>45.8</v>
      </c>
      <c r="AI327" s="122"/>
      <c r="AJ327" s="122">
        <v>13.470587857454301</v>
      </c>
      <c r="AK327" s="1" t="s">
        <v>83</v>
      </c>
      <c r="AL327" s="122"/>
      <c r="AM327" s="122"/>
      <c r="AN327" s="122">
        <v>37</v>
      </c>
      <c r="AO327" s="122"/>
      <c r="AP327" s="122"/>
      <c r="AQ327" s="122"/>
      <c r="AR327" s="122"/>
    </row>
    <row r="328" spans="1:44">
      <c r="A328" s="75">
        <v>327</v>
      </c>
      <c r="B328" s="109">
        <v>2012</v>
      </c>
      <c r="C328" s="118" t="s">
        <v>139</v>
      </c>
      <c r="D328" s="9" t="s">
        <v>108</v>
      </c>
      <c r="E328" s="9" t="s">
        <v>26</v>
      </c>
      <c r="F328" s="9" t="s">
        <v>39</v>
      </c>
      <c r="G328" s="9" t="s">
        <v>123</v>
      </c>
      <c r="H328" s="17">
        <v>41079</v>
      </c>
      <c r="I328" s="17"/>
      <c r="J328" s="18"/>
      <c r="K328" s="122"/>
      <c r="L328" s="122"/>
      <c r="M328" s="122"/>
      <c r="N328" s="122"/>
      <c r="O328" s="122"/>
      <c r="P328" s="122"/>
      <c r="Q328" s="122"/>
      <c r="R328" s="122"/>
      <c r="S328" s="122"/>
      <c r="T328" s="122"/>
      <c r="U328" s="122"/>
      <c r="V328" s="123"/>
      <c r="W328" s="122"/>
      <c r="X328" s="122"/>
      <c r="Y328" s="122"/>
      <c r="Z328" s="122"/>
      <c r="AG328" s="124">
        <v>3.4</v>
      </c>
      <c r="AH328" s="122">
        <v>23.8</v>
      </c>
      <c r="AI328" s="122"/>
      <c r="AJ328" s="122">
        <v>6.9999998036552942</v>
      </c>
      <c r="AK328" s="1" t="s">
        <v>3</v>
      </c>
      <c r="AL328" s="122"/>
      <c r="AM328" s="122"/>
      <c r="AN328" s="122"/>
      <c r="AO328" s="122"/>
      <c r="AP328" s="122"/>
      <c r="AQ328" s="122"/>
      <c r="AR328" s="122"/>
    </row>
    <row r="329" spans="1:44">
      <c r="A329" s="75">
        <v>328</v>
      </c>
      <c r="B329" s="109">
        <v>2012</v>
      </c>
      <c r="C329" s="118" t="s">
        <v>139</v>
      </c>
      <c r="D329" s="9" t="s">
        <v>108</v>
      </c>
      <c r="E329" s="9" t="s">
        <v>17</v>
      </c>
      <c r="F329" s="9" t="s">
        <v>37</v>
      </c>
      <c r="G329" s="9" t="s">
        <v>48</v>
      </c>
      <c r="H329" s="17">
        <v>41086</v>
      </c>
      <c r="I329" s="17"/>
      <c r="J329" s="18"/>
      <c r="K329" s="122">
        <v>125.67</v>
      </c>
      <c r="L329" s="122">
        <v>60.6</v>
      </c>
      <c r="M329" s="125" t="s">
        <v>62</v>
      </c>
      <c r="N329" s="122">
        <v>367.21</v>
      </c>
      <c r="O329" s="122">
        <v>2.92</v>
      </c>
      <c r="P329" s="122">
        <f>AJ329*1000*AN329/100</f>
        <v>290.98666666666662</v>
      </c>
      <c r="Q329" s="122">
        <f>N329*P329/1000</f>
        <v>106.85321386666665</v>
      </c>
      <c r="R329" s="122">
        <f>K329*P329/1000</f>
        <v>36.568294399999992</v>
      </c>
      <c r="S329" s="122"/>
      <c r="T329" s="122">
        <f>$AJ329*1000*$AN329*0.01*$N329*0.001</f>
        <v>106.85321386666665</v>
      </c>
      <c r="U329" s="122">
        <f>$AJ329*1000*$AN329*0.01*$K329*0.001</f>
        <v>36.568294399999992</v>
      </c>
      <c r="V329" s="123"/>
      <c r="W329" s="122"/>
      <c r="X329" s="122"/>
      <c r="Y329" s="122"/>
      <c r="Z329" s="122"/>
      <c r="AG329" s="124">
        <v>3.4</v>
      </c>
      <c r="AH329" s="122">
        <v>28.16</v>
      </c>
      <c r="AI329" s="122"/>
      <c r="AJ329" s="122">
        <v>18.773333333333333</v>
      </c>
      <c r="AK329" s="1" t="s">
        <v>5</v>
      </c>
      <c r="AL329" s="122"/>
      <c r="AM329" s="122"/>
      <c r="AN329" s="122">
        <v>1.55</v>
      </c>
      <c r="AO329" s="122">
        <v>29.145599365234375</v>
      </c>
      <c r="AP329" s="122">
        <v>20.650667190551758</v>
      </c>
      <c r="AQ329" s="122">
        <v>52.565334320068359</v>
      </c>
      <c r="AR329" s="122">
        <v>4.6933331489562988</v>
      </c>
    </row>
    <row r="330" spans="1:44">
      <c r="A330" s="75">
        <v>329</v>
      </c>
      <c r="B330" s="109">
        <v>2012</v>
      </c>
      <c r="C330" s="118" t="s">
        <v>139</v>
      </c>
      <c r="D330" s="9" t="s">
        <v>108</v>
      </c>
      <c r="E330" s="9" t="s">
        <v>25</v>
      </c>
      <c r="F330" s="9" t="s">
        <v>35</v>
      </c>
      <c r="G330" s="9" t="s">
        <v>36</v>
      </c>
      <c r="H330" s="17">
        <v>41099</v>
      </c>
      <c r="I330" s="17"/>
      <c r="J330" s="18">
        <v>2</v>
      </c>
      <c r="K330" s="122"/>
      <c r="L330" s="122"/>
      <c r="M330" s="122"/>
      <c r="N330" s="122"/>
      <c r="O330" s="122"/>
      <c r="P330" s="122"/>
      <c r="Q330" s="122"/>
      <c r="R330" s="122"/>
      <c r="S330" s="122">
        <f>AJ330*AN330</f>
        <v>226.57058188016043</v>
      </c>
      <c r="T330" s="122">
        <f>$S330*0.4089</f>
        <v>92.644710930797601</v>
      </c>
      <c r="U330" s="122">
        <f>$S330*0.0263</f>
        <v>5.9588063034482195</v>
      </c>
      <c r="V330" s="123"/>
      <c r="W330" s="122"/>
      <c r="X330" s="122"/>
      <c r="Y330" s="122"/>
      <c r="Z330" s="122"/>
      <c r="AG330" s="124">
        <v>3.4</v>
      </c>
      <c r="AH330" s="122">
        <v>20.82</v>
      </c>
      <c r="AI330" s="122"/>
      <c r="AJ330" s="122">
        <v>6.123529240004336</v>
      </c>
      <c r="AK330" s="1" t="s">
        <v>83</v>
      </c>
      <c r="AL330" s="122"/>
      <c r="AM330" s="122"/>
      <c r="AN330" s="122">
        <v>37</v>
      </c>
      <c r="AO330" s="122"/>
      <c r="AP330" s="122"/>
      <c r="AQ330" s="122"/>
      <c r="AR330" s="122"/>
    </row>
    <row r="331" spans="1:44">
      <c r="A331" s="75">
        <v>330</v>
      </c>
      <c r="B331" s="109">
        <v>2012</v>
      </c>
      <c r="C331" s="118" t="s">
        <v>139</v>
      </c>
      <c r="D331" s="9" t="s">
        <v>108</v>
      </c>
      <c r="E331" s="9" t="s">
        <v>17</v>
      </c>
      <c r="F331" s="9" t="s">
        <v>37</v>
      </c>
      <c r="G331" s="9" t="s">
        <v>48</v>
      </c>
      <c r="H331" s="17">
        <v>41103</v>
      </c>
      <c r="I331" s="17"/>
      <c r="J331" s="18"/>
      <c r="K331" s="122">
        <v>119.23</v>
      </c>
      <c r="L331" s="122">
        <v>54.5</v>
      </c>
      <c r="M331" s="125" t="s">
        <v>62</v>
      </c>
      <c r="N331" s="122">
        <v>371.42</v>
      </c>
      <c r="O331" s="122">
        <v>3.12</v>
      </c>
      <c r="P331" s="122">
        <f>AJ331*1000*AN331/100</f>
        <v>309.76</v>
      </c>
      <c r="Q331" s="122">
        <f>N331*P331/1000</f>
        <v>115.0510592</v>
      </c>
      <c r="R331" s="122">
        <f>K331*P331/1000</f>
        <v>36.932684800000004</v>
      </c>
      <c r="S331" s="122"/>
      <c r="T331" s="122">
        <f>$AJ331*1000*$AN331*0.01*$N331*0.001</f>
        <v>115.05105920000001</v>
      </c>
      <c r="U331" s="122">
        <f>$AJ331*1000*$AN331*0.01*$K331*0.001</f>
        <v>36.932684800000004</v>
      </c>
      <c r="V331" s="123"/>
      <c r="W331" s="122"/>
      <c r="X331" s="122"/>
      <c r="Y331" s="122"/>
      <c r="Z331" s="122"/>
      <c r="AG331" s="124">
        <v>3.4</v>
      </c>
      <c r="AH331" s="122">
        <v>28.16</v>
      </c>
      <c r="AI331" s="122"/>
      <c r="AJ331" s="122">
        <v>18.773333333333333</v>
      </c>
      <c r="AK331" s="1" t="s">
        <v>5</v>
      </c>
      <c r="AL331" s="122"/>
      <c r="AM331" s="122"/>
      <c r="AN331" s="122">
        <v>1.65</v>
      </c>
      <c r="AO331" s="122">
        <v>29.145599365234375</v>
      </c>
      <c r="AP331" s="122">
        <v>20.650667190551758</v>
      </c>
      <c r="AQ331" s="122">
        <v>52.565334320068359</v>
      </c>
      <c r="AR331" s="122">
        <v>4.6933331489562988</v>
      </c>
    </row>
    <row r="332" spans="1:44">
      <c r="A332" s="75">
        <v>331</v>
      </c>
      <c r="B332" s="109">
        <v>2012</v>
      </c>
      <c r="C332" s="118" t="s">
        <v>139</v>
      </c>
      <c r="D332" s="9" t="s">
        <v>108</v>
      </c>
      <c r="E332" s="9" t="s">
        <v>26</v>
      </c>
      <c r="F332" s="9" t="s">
        <v>33</v>
      </c>
      <c r="G332" s="34" t="s">
        <v>122</v>
      </c>
      <c r="H332" s="17">
        <v>41107</v>
      </c>
      <c r="I332" s="17"/>
      <c r="J332" s="18"/>
      <c r="K332" s="122"/>
      <c r="L332" s="122"/>
      <c r="M332" s="122"/>
      <c r="N332" s="122"/>
      <c r="O332" s="122"/>
      <c r="P332" s="122"/>
      <c r="Q332" s="122"/>
      <c r="R332" s="122"/>
      <c r="S332" s="122"/>
      <c r="T332" s="122"/>
      <c r="U332" s="122"/>
      <c r="V332" s="123"/>
      <c r="W332" s="122"/>
      <c r="X332" s="122"/>
      <c r="Y332" s="122"/>
      <c r="Z332" s="122"/>
      <c r="AG332" s="124">
        <v>3.4</v>
      </c>
      <c r="AH332" s="122">
        <v>4</v>
      </c>
      <c r="AI332" s="122"/>
      <c r="AJ332" s="122">
        <v>1.1764705552361838</v>
      </c>
      <c r="AK332" s="1" t="s">
        <v>7</v>
      </c>
      <c r="AL332" s="122"/>
      <c r="AM332" s="122"/>
      <c r="AN332" s="122"/>
      <c r="AO332" s="122"/>
      <c r="AP332" s="122"/>
      <c r="AQ332" s="122"/>
      <c r="AR332" s="122"/>
    </row>
    <row r="333" spans="1:44">
      <c r="A333" s="75">
        <v>332</v>
      </c>
      <c r="B333" s="109">
        <v>2012</v>
      </c>
      <c r="C333" s="118" t="s">
        <v>139</v>
      </c>
      <c r="D333" s="9" t="s">
        <v>108</v>
      </c>
      <c r="E333" s="9" t="s">
        <v>25</v>
      </c>
      <c r="F333" s="9" t="s">
        <v>35</v>
      </c>
      <c r="G333" s="33" t="s">
        <v>43</v>
      </c>
      <c r="H333" s="17">
        <v>41128</v>
      </c>
      <c r="I333" s="17"/>
      <c r="J333" s="18">
        <v>3</v>
      </c>
      <c r="K333" s="122"/>
      <c r="L333" s="122"/>
      <c r="M333" s="122"/>
      <c r="N333" s="122"/>
      <c r="O333" s="122"/>
      <c r="P333" s="122"/>
      <c r="Q333" s="122"/>
      <c r="R333" s="122"/>
      <c r="S333" s="122">
        <f>AJ333*AN333</f>
        <v>1714.3823048540476</v>
      </c>
      <c r="T333" s="122">
        <f>$S333*0.4089</f>
        <v>701.01092445482004</v>
      </c>
      <c r="U333" s="122">
        <f>$S333*0.0263</f>
        <v>45.088254617661448</v>
      </c>
      <c r="V333" s="123"/>
      <c r="W333" s="122"/>
      <c r="X333" s="122"/>
      <c r="Y333" s="122"/>
      <c r="Z333" s="122"/>
      <c r="AG333" s="124">
        <v>3.4</v>
      </c>
      <c r="AH333" s="122">
        <v>83.27</v>
      </c>
      <c r="AI333" s="122"/>
      <c r="AJ333" s="122">
        <v>24.491175783629252</v>
      </c>
      <c r="AK333" s="1" t="s">
        <v>83</v>
      </c>
      <c r="AL333" s="122"/>
      <c r="AM333" s="122"/>
      <c r="AN333" s="122">
        <v>70</v>
      </c>
      <c r="AO333" s="122"/>
      <c r="AP333" s="122"/>
      <c r="AQ333" s="122"/>
      <c r="AR333" s="122"/>
    </row>
    <row r="334" spans="1:44">
      <c r="A334" s="75">
        <v>333</v>
      </c>
      <c r="B334" s="109">
        <v>2012</v>
      </c>
      <c r="C334" s="118" t="s">
        <v>139</v>
      </c>
      <c r="D334" s="9" t="s">
        <v>108</v>
      </c>
      <c r="E334" s="9" t="s">
        <v>17</v>
      </c>
      <c r="F334" s="9" t="s">
        <v>37</v>
      </c>
      <c r="G334" s="9" t="s">
        <v>48</v>
      </c>
      <c r="H334" s="17">
        <v>41137</v>
      </c>
      <c r="I334" s="17"/>
      <c r="J334" s="18"/>
      <c r="K334" s="122">
        <v>68.61</v>
      </c>
      <c r="L334" s="122">
        <v>38.299999999999997</v>
      </c>
      <c r="M334" s="125" t="s">
        <v>62</v>
      </c>
      <c r="N334" s="122">
        <v>400.78</v>
      </c>
      <c r="O334" s="122">
        <v>5.84</v>
      </c>
      <c r="P334" s="122">
        <f>AJ334*1000*AN334/100</f>
        <v>613.27133333333325</v>
      </c>
      <c r="Q334" s="122">
        <f>N334*P334/1000</f>
        <v>245.78688497333329</v>
      </c>
      <c r="R334" s="122">
        <f>K334*P334/1000</f>
        <v>42.076546179999987</v>
      </c>
      <c r="S334" s="122"/>
      <c r="T334" s="122">
        <f>$AJ334*1000*$AN334*0.01*$N334*0.001</f>
        <v>245.78688497333329</v>
      </c>
      <c r="U334" s="122">
        <f>$AJ334*1000*$AN334*0.01*$K334*0.001</f>
        <v>42.076546179999994</v>
      </c>
      <c r="V334" s="123"/>
      <c r="W334" s="122"/>
      <c r="X334" s="122"/>
      <c r="Y334" s="122"/>
      <c r="Z334" s="122"/>
      <c r="AG334" s="124">
        <v>3.4</v>
      </c>
      <c r="AH334" s="122">
        <v>29.39</v>
      </c>
      <c r="AI334" s="122"/>
      <c r="AJ334" s="122">
        <v>19.593333333333334</v>
      </c>
      <c r="AK334" s="1" t="s">
        <v>5</v>
      </c>
      <c r="AL334" s="122"/>
      <c r="AM334" s="122"/>
      <c r="AN334" s="122">
        <v>3.13</v>
      </c>
      <c r="AO334" s="122">
        <v>30.418649673461914</v>
      </c>
      <c r="AP334" s="122">
        <v>21.552667617797852</v>
      </c>
      <c r="AQ334" s="122">
        <v>54.861331939697266</v>
      </c>
      <c r="AR334" s="122">
        <v>4.8983330726623535</v>
      </c>
    </row>
    <row r="335" spans="1:44">
      <c r="A335" s="75">
        <v>334</v>
      </c>
      <c r="B335" s="109">
        <v>2012</v>
      </c>
      <c r="C335" s="118" t="s">
        <v>139</v>
      </c>
      <c r="D335" s="9" t="s">
        <v>108</v>
      </c>
      <c r="E335" s="9" t="s">
        <v>25</v>
      </c>
      <c r="F335" s="9" t="s">
        <v>35</v>
      </c>
      <c r="G335" s="9" t="s">
        <v>36</v>
      </c>
      <c r="H335" s="17">
        <v>41148</v>
      </c>
      <c r="I335" s="17"/>
      <c r="J335" s="18">
        <v>4</v>
      </c>
      <c r="K335" s="122"/>
      <c r="L335" s="122"/>
      <c r="M335" s="122"/>
      <c r="N335" s="122"/>
      <c r="O335" s="122"/>
      <c r="P335" s="122"/>
      <c r="Q335" s="122"/>
      <c r="R335" s="122"/>
      <c r="S335" s="122">
        <f>AJ335*AN335</f>
        <v>736.19115582098243</v>
      </c>
      <c r="T335" s="122">
        <f>$S335*0.4089</f>
        <v>301.02856361519969</v>
      </c>
      <c r="U335" s="122">
        <f>$S335*0.0263</f>
        <v>19.361827398091837</v>
      </c>
      <c r="V335" s="123"/>
      <c r="W335" s="122"/>
      <c r="X335" s="122"/>
      <c r="Y335" s="122"/>
      <c r="Z335" s="122"/>
      <c r="AG335" s="124">
        <v>3.4</v>
      </c>
      <c r="AH335" s="122">
        <v>67.650000000000006</v>
      </c>
      <c r="AI335" s="122"/>
      <c r="AJ335" s="122">
        <v>19.897058265431959</v>
      </c>
      <c r="AK335" s="1" t="s">
        <v>83</v>
      </c>
      <c r="AL335" s="122"/>
      <c r="AM335" s="122"/>
      <c r="AN335" s="122">
        <v>37</v>
      </c>
      <c r="AO335" s="122"/>
      <c r="AP335" s="122"/>
      <c r="AQ335" s="122"/>
      <c r="AR335" s="122"/>
    </row>
    <row r="336" spans="1:44">
      <c r="A336" s="75">
        <v>335</v>
      </c>
      <c r="B336" s="109">
        <v>2012</v>
      </c>
      <c r="C336" s="118" t="s">
        <v>139</v>
      </c>
      <c r="D336" s="9" t="s">
        <v>108</v>
      </c>
      <c r="E336" s="9" t="s">
        <v>17</v>
      </c>
      <c r="F336" s="9" t="s">
        <v>37</v>
      </c>
      <c r="G336" s="9" t="s">
        <v>48</v>
      </c>
      <c r="H336" s="17">
        <v>41157</v>
      </c>
      <c r="I336" s="17"/>
      <c r="J336" s="18"/>
      <c r="K336" s="122">
        <v>113.11</v>
      </c>
      <c r="L336" s="122">
        <v>52.4</v>
      </c>
      <c r="M336" s="125" t="s">
        <v>62</v>
      </c>
      <c r="N336" s="122">
        <v>399.51</v>
      </c>
      <c r="O336" s="122">
        <v>3.53</v>
      </c>
      <c r="P336" s="122">
        <f>AJ336*1000*AN336/100</f>
        <v>493.75199999999995</v>
      </c>
      <c r="Q336" s="122">
        <f>N336*P336/1000</f>
        <v>197.25886151999998</v>
      </c>
      <c r="R336" s="122">
        <f>K336*P336/1000</f>
        <v>55.848288719999999</v>
      </c>
      <c r="S336" s="122"/>
      <c r="T336" s="122">
        <f>$AJ336*1000*$AN336*0.01*$N336*0.001</f>
        <v>197.25886152000001</v>
      </c>
      <c r="U336" s="122">
        <f>$AJ336*1000*$AN336*0.01*$K336*0.001</f>
        <v>55.848288720000006</v>
      </c>
      <c r="V336" s="123"/>
      <c r="W336" s="122"/>
      <c r="X336" s="122"/>
      <c r="Y336" s="122"/>
      <c r="Z336" s="122"/>
      <c r="AG336" s="124">
        <v>3.4</v>
      </c>
      <c r="AH336" s="122">
        <v>29.39</v>
      </c>
      <c r="AI336" s="122"/>
      <c r="AJ336" s="122">
        <v>19.593333333333334</v>
      </c>
      <c r="AK336" s="1" t="s">
        <v>5</v>
      </c>
      <c r="AL336" s="122"/>
      <c r="AM336" s="122"/>
      <c r="AN336" s="122">
        <v>2.52</v>
      </c>
      <c r="AO336" s="122">
        <v>30.418649673461914</v>
      </c>
      <c r="AP336" s="122">
        <v>21.552667617797852</v>
      </c>
      <c r="AQ336" s="122">
        <v>54.861331939697266</v>
      </c>
      <c r="AR336" s="122">
        <v>4.8983330726623535</v>
      </c>
    </row>
    <row r="337" spans="1:44" s="5" customFormat="1">
      <c r="A337" s="75">
        <v>336</v>
      </c>
      <c r="B337" s="109">
        <v>2012</v>
      </c>
      <c r="C337" s="118" t="s">
        <v>139</v>
      </c>
      <c r="D337" s="9" t="s">
        <v>108</v>
      </c>
      <c r="E337" s="9" t="s">
        <v>26</v>
      </c>
      <c r="F337" s="9" t="s">
        <v>33</v>
      </c>
      <c r="G337" s="9" t="s">
        <v>121</v>
      </c>
      <c r="H337" s="17">
        <v>41158</v>
      </c>
      <c r="I337" s="17"/>
      <c r="J337" s="18"/>
      <c r="K337" s="122"/>
      <c r="L337" s="122"/>
      <c r="M337" s="122"/>
      <c r="N337" s="122"/>
      <c r="O337" s="122"/>
      <c r="P337" s="122"/>
      <c r="Q337" s="122"/>
      <c r="R337" s="122"/>
      <c r="S337" s="122"/>
      <c r="T337" s="122"/>
      <c r="U337" s="122"/>
      <c r="V337" s="123"/>
      <c r="W337" s="122"/>
      <c r="X337" s="122"/>
      <c r="Y337" s="122"/>
      <c r="Z337" s="122"/>
      <c r="AA337" s="24"/>
      <c r="AB337" s="24"/>
      <c r="AC337" s="24"/>
      <c r="AD337" s="24"/>
      <c r="AE337" s="8"/>
      <c r="AF337" s="8"/>
      <c r="AG337" s="124">
        <v>3.4</v>
      </c>
      <c r="AH337" s="122">
        <v>6</v>
      </c>
      <c r="AI337" s="122"/>
      <c r="AJ337" s="122">
        <v>4</v>
      </c>
      <c r="AK337" s="1" t="s">
        <v>6</v>
      </c>
      <c r="AL337" s="122"/>
      <c r="AM337" s="122"/>
      <c r="AN337" s="122"/>
      <c r="AO337" s="122"/>
      <c r="AP337" s="122"/>
      <c r="AQ337" s="122"/>
      <c r="AR337" s="122"/>
    </row>
    <row r="338" spans="1:44" s="5" customFormat="1">
      <c r="A338" s="75">
        <v>337</v>
      </c>
      <c r="B338" s="109">
        <v>2012</v>
      </c>
      <c r="C338" s="118" t="s">
        <v>139</v>
      </c>
      <c r="D338" s="9" t="s">
        <v>108</v>
      </c>
      <c r="E338" s="9" t="s">
        <v>25</v>
      </c>
      <c r="F338" s="9" t="s">
        <v>35</v>
      </c>
      <c r="G338" s="9" t="s">
        <v>36</v>
      </c>
      <c r="H338" s="17">
        <v>41186</v>
      </c>
      <c r="I338" s="17"/>
      <c r="J338" s="18">
        <v>5</v>
      </c>
      <c r="K338" s="122"/>
      <c r="L338" s="122"/>
      <c r="M338" s="122"/>
      <c r="N338" s="122"/>
      <c r="O338" s="122"/>
      <c r="P338" s="122"/>
      <c r="Q338" s="122"/>
      <c r="R338" s="122"/>
      <c r="S338" s="122">
        <f>AJ338*AN338</f>
        <v>339.74704929388128</v>
      </c>
      <c r="T338" s="122">
        <f>$S338*0.4089</f>
        <v>138.92256845626804</v>
      </c>
      <c r="U338" s="122">
        <f>$S338*0.0263</f>
        <v>8.9353473964290782</v>
      </c>
      <c r="V338" s="123"/>
      <c r="W338" s="122"/>
      <c r="X338" s="122"/>
      <c r="Y338" s="122"/>
      <c r="Z338" s="122"/>
      <c r="AA338" s="24"/>
      <c r="AB338" s="24"/>
      <c r="AC338" s="24"/>
      <c r="AD338" s="24"/>
      <c r="AE338" s="8"/>
      <c r="AF338" s="8"/>
      <c r="AG338" s="124">
        <v>3.4</v>
      </c>
      <c r="AH338" s="122">
        <v>31.219999999999995</v>
      </c>
      <c r="AI338" s="122"/>
      <c r="AJ338" s="122">
        <v>9.1823526836184133</v>
      </c>
      <c r="AK338" s="1" t="s">
        <v>83</v>
      </c>
      <c r="AL338" s="122"/>
      <c r="AM338" s="122"/>
      <c r="AN338" s="122">
        <v>37</v>
      </c>
      <c r="AO338" s="122"/>
      <c r="AP338" s="122"/>
      <c r="AQ338" s="122"/>
      <c r="AR338" s="122"/>
    </row>
    <row r="339" spans="1:44" s="5" customFormat="1">
      <c r="A339" s="75">
        <v>338</v>
      </c>
      <c r="B339" s="108">
        <v>2013</v>
      </c>
      <c r="C339" s="117" t="s">
        <v>138</v>
      </c>
      <c r="D339" s="9" t="s">
        <v>108</v>
      </c>
      <c r="E339" s="9" t="s">
        <v>17</v>
      </c>
      <c r="F339" s="9" t="s">
        <v>37</v>
      </c>
      <c r="G339" s="9" t="s">
        <v>48</v>
      </c>
      <c r="H339" s="17">
        <v>41340</v>
      </c>
      <c r="I339" s="17"/>
      <c r="J339" s="18"/>
      <c r="K339" s="122">
        <v>96.7</v>
      </c>
      <c r="L339" s="122">
        <v>69.3</v>
      </c>
      <c r="M339" s="122" t="s">
        <v>62</v>
      </c>
      <c r="N339" s="122">
        <v>397.2</v>
      </c>
      <c r="O339" s="122">
        <v>4.1100000000000003</v>
      </c>
      <c r="P339" s="122">
        <f>AJ339*1000*AN339/100</f>
        <v>857.15</v>
      </c>
      <c r="Q339" s="122">
        <f>N339*P339/1000</f>
        <v>340.45997999999997</v>
      </c>
      <c r="R339" s="122">
        <f>K339*P339/1000</f>
        <v>82.886404999999996</v>
      </c>
      <c r="S339" s="122"/>
      <c r="T339" s="122">
        <f>$AJ339*1000*$AN339*0.01*$N339*0.001</f>
        <v>340.45997999999997</v>
      </c>
      <c r="U339" s="122">
        <f>$AJ339*1000*$AN339*0.01*$K339*0.001</f>
        <v>82.886404999999996</v>
      </c>
      <c r="V339" s="123"/>
      <c r="W339" s="122"/>
      <c r="X339" s="122"/>
      <c r="Y339" s="122"/>
      <c r="Z339" s="122"/>
      <c r="AA339" s="24"/>
      <c r="AB339" s="24"/>
      <c r="AC339" s="24"/>
      <c r="AD339" s="24"/>
      <c r="AE339" s="8"/>
      <c r="AF339" s="8"/>
      <c r="AG339" s="124">
        <v>1.5</v>
      </c>
      <c r="AH339" s="125">
        <v>36.729999999999997</v>
      </c>
      <c r="AI339" s="125"/>
      <c r="AJ339" s="125">
        <v>24.49</v>
      </c>
      <c r="AK339" s="1" t="s">
        <v>5</v>
      </c>
      <c r="AL339" s="122"/>
      <c r="AM339" s="122"/>
      <c r="AN339" s="122">
        <v>3.5</v>
      </c>
      <c r="AO339" s="122">
        <v>38</v>
      </c>
      <c r="AP339" s="122">
        <v>26.9</v>
      </c>
      <c r="AQ339" s="122">
        <v>68.599999999999994</v>
      </c>
      <c r="AR339" s="122">
        <v>6.1</v>
      </c>
    </row>
    <row r="340" spans="1:44" s="5" customFormat="1">
      <c r="A340" s="75">
        <v>339</v>
      </c>
      <c r="B340" s="108">
        <v>2013</v>
      </c>
      <c r="C340" s="117" t="s">
        <v>138</v>
      </c>
      <c r="D340" s="9" t="s">
        <v>108</v>
      </c>
      <c r="E340" s="9" t="s">
        <v>25</v>
      </c>
      <c r="F340" s="9" t="s">
        <v>35</v>
      </c>
      <c r="G340" s="9" t="s">
        <v>36</v>
      </c>
      <c r="H340" s="17">
        <v>41431</v>
      </c>
      <c r="I340" s="17"/>
      <c r="J340" s="18">
        <v>1</v>
      </c>
      <c r="K340" s="122"/>
      <c r="L340" s="122"/>
      <c r="M340" s="122"/>
      <c r="N340" s="122"/>
      <c r="O340" s="122"/>
      <c r="P340" s="122"/>
      <c r="Q340" s="122"/>
      <c r="R340" s="122"/>
      <c r="S340" s="122">
        <f>AJ340*AN340</f>
        <v>1019.4733333333332</v>
      </c>
      <c r="T340" s="122">
        <f>$S340*0.4089</f>
        <v>416.86264599999993</v>
      </c>
      <c r="U340" s="122">
        <f>$S340*0.0263</f>
        <v>26.812148666666666</v>
      </c>
      <c r="V340" s="140"/>
      <c r="W340" s="122"/>
      <c r="X340" s="122"/>
      <c r="Y340" s="122"/>
      <c r="Z340" s="122"/>
      <c r="AA340" s="24"/>
      <c r="AB340" s="24"/>
      <c r="AC340" s="24"/>
      <c r="AD340" s="24"/>
      <c r="AE340" s="8"/>
      <c r="AF340" s="8"/>
      <c r="AG340" s="124">
        <v>1.5</v>
      </c>
      <c r="AH340" s="122">
        <v>41.33</v>
      </c>
      <c r="AI340" s="122"/>
      <c r="AJ340" s="122">
        <v>27.553333333333331</v>
      </c>
      <c r="AK340" s="1" t="s">
        <v>83</v>
      </c>
      <c r="AL340" s="122"/>
      <c r="AM340" s="122"/>
      <c r="AN340" s="122">
        <v>37</v>
      </c>
      <c r="AO340" s="122"/>
      <c r="AP340" s="122"/>
      <c r="AQ340" s="122"/>
      <c r="AR340" s="122"/>
    </row>
    <row r="341" spans="1:44" s="5" customFormat="1">
      <c r="A341" s="75">
        <v>340</v>
      </c>
      <c r="B341" s="108">
        <v>2013</v>
      </c>
      <c r="C341" s="117" t="s">
        <v>138</v>
      </c>
      <c r="D341" s="9" t="s">
        <v>108</v>
      </c>
      <c r="E341" s="9" t="s">
        <v>25</v>
      </c>
      <c r="F341" s="9" t="s">
        <v>35</v>
      </c>
      <c r="G341" s="9" t="s">
        <v>45</v>
      </c>
      <c r="H341" s="17">
        <v>41432</v>
      </c>
      <c r="I341" s="17"/>
      <c r="J341" s="18">
        <v>1</v>
      </c>
      <c r="K341" s="122"/>
      <c r="L341" s="122"/>
      <c r="M341" s="122"/>
      <c r="N341" s="122"/>
      <c r="O341" s="122"/>
      <c r="P341" s="122"/>
      <c r="Q341" s="122"/>
      <c r="R341" s="122"/>
      <c r="S341" s="122">
        <f>AJ341*AN341</f>
        <v>4816</v>
      </c>
      <c r="T341" s="122">
        <f>$S341*0.4089</f>
        <v>1969.2623999999998</v>
      </c>
      <c r="U341" s="122">
        <f>$S341*0.0263</f>
        <v>126.66080000000001</v>
      </c>
      <c r="V341" s="141">
        <v>1614.0079617774763</v>
      </c>
      <c r="W341" s="122"/>
      <c r="X341" s="122"/>
      <c r="Y341" s="126">
        <f>$V341*0.4089</f>
        <v>659.96785557081</v>
      </c>
      <c r="Z341" s="122">
        <f>V341*0.0263</f>
        <v>42.448409394747628</v>
      </c>
      <c r="AA341" s="24"/>
      <c r="AB341" s="24"/>
      <c r="AC341" s="24"/>
      <c r="AD341" s="24"/>
      <c r="AE341" s="8"/>
      <c r="AF341" s="8"/>
      <c r="AG341" s="124">
        <v>1.5</v>
      </c>
      <c r="AH341" s="122">
        <v>84</v>
      </c>
      <c r="AI341" s="122"/>
      <c r="AJ341" s="122">
        <v>56</v>
      </c>
      <c r="AK341" s="1" t="s">
        <v>83</v>
      </c>
      <c r="AL341" s="122"/>
      <c r="AM341" s="122"/>
      <c r="AN341" s="122">
        <v>86</v>
      </c>
      <c r="AO341" s="122"/>
      <c r="AP341" s="122"/>
      <c r="AQ341" s="122"/>
      <c r="AR341" s="122"/>
    </row>
    <row r="342" spans="1:44" s="5" customFormat="1">
      <c r="A342" s="75">
        <v>341</v>
      </c>
      <c r="B342" s="108">
        <v>2013</v>
      </c>
      <c r="C342" s="117" t="s">
        <v>138</v>
      </c>
      <c r="D342" s="9" t="s">
        <v>108</v>
      </c>
      <c r="E342" s="9" t="s">
        <v>17</v>
      </c>
      <c r="F342" s="9" t="s">
        <v>37</v>
      </c>
      <c r="G342" s="9" t="s">
        <v>48</v>
      </c>
      <c r="H342" s="17">
        <v>41436</v>
      </c>
      <c r="I342" s="17"/>
      <c r="J342" s="18"/>
      <c r="K342" s="122">
        <v>61.2</v>
      </c>
      <c r="L342" s="122">
        <v>37.6</v>
      </c>
      <c r="M342" s="122">
        <v>0.371</v>
      </c>
      <c r="N342" s="122">
        <v>378.3</v>
      </c>
      <c r="O342" s="122">
        <v>6.18</v>
      </c>
      <c r="P342" s="122">
        <f>AJ342*1000*AN342/100</f>
        <v>340</v>
      </c>
      <c r="Q342" s="122">
        <f>N342*P342/1000</f>
        <v>128.62200000000001</v>
      </c>
      <c r="R342" s="122">
        <f>K342*P342/1000</f>
        <v>20.808</v>
      </c>
      <c r="S342" s="122"/>
      <c r="T342" s="122">
        <f>$AJ342*1000*$AN342*0.01*$N342*0.001</f>
        <v>128.62200000000001</v>
      </c>
      <c r="U342" s="122">
        <f>$AJ342*1000*$AN342*0.01*$K342*0.001</f>
        <v>20.808</v>
      </c>
      <c r="V342" s="123"/>
      <c r="W342" s="122"/>
      <c r="X342" s="122"/>
      <c r="Y342" s="122"/>
      <c r="Z342" s="122"/>
      <c r="AA342" s="24"/>
      <c r="AB342" s="24"/>
      <c r="AC342" s="24"/>
      <c r="AD342" s="24"/>
      <c r="AE342" s="8"/>
      <c r="AF342" s="8"/>
      <c r="AG342" s="124">
        <v>1.5</v>
      </c>
      <c r="AH342" s="125">
        <v>30</v>
      </c>
      <c r="AI342" s="125"/>
      <c r="AJ342" s="125">
        <v>20</v>
      </c>
      <c r="AK342" s="1" t="s">
        <v>5</v>
      </c>
      <c r="AL342" s="122"/>
      <c r="AM342" s="122"/>
      <c r="AN342" s="122">
        <v>1.7</v>
      </c>
      <c r="AO342" s="122">
        <v>31.1</v>
      </c>
      <c r="AP342" s="122">
        <v>22</v>
      </c>
      <c r="AQ342" s="122">
        <v>56</v>
      </c>
      <c r="AR342" s="122">
        <v>5</v>
      </c>
    </row>
    <row r="343" spans="1:44" s="5" customFormat="1">
      <c r="A343" s="75">
        <v>342</v>
      </c>
      <c r="B343" s="108">
        <v>2013</v>
      </c>
      <c r="C343" s="117" t="s">
        <v>138</v>
      </c>
      <c r="D343" s="9" t="s">
        <v>108</v>
      </c>
      <c r="E343" s="9" t="s">
        <v>26</v>
      </c>
      <c r="F343" s="9" t="s">
        <v>33</v>
      </c>
      <c r="G343" s="9" t="s">
        <v>122</v>
      </c>
      <c r="H343" s="17">
        <v>41443</v>
      </c>
      <c r="I343" s="17"/>
      <c r="J343" s="18"/>
      <c r="K343" s="122"/>
      <c r="L343" s="122"/>
      <c r="M343" s="122"/>
      <c r="N343" s="122"/>
      <c r="O343" s="122"/>
      <c r="P343" s="122"/>
      <c r="Q343" s="122"/>
      <c r="R343" s="122"/>
      <c r="S343" s="122"/>
      <c r="T343" s="122"/>
      <c r="U343" s="122"/>
      <c r="V343" s="140"/>
      <c r="W343" s="122"/>
      <c r="X343" s="122"/>
      <c r="Y343" s="122"/>
      <c r="Z343" s="122"/>
      <c r="AA343" s="24"/>
      <c r="AB343" s="24"/>
      <c r="AC343" s="24"/>
      <c r="AD343" s="24"/>
      <c r="AE343" s="8"/>
      <c r="AF343" s="8"/>
      <c r="AG343" s="124">
        <v>1.5</v>
      </c>
      <c r="AH343" s="122">
        <v>3.06</v>
      </c>
      <c r="AI343" s="122"/>
      <c r="AJ343" s="122">
        <v>2.04</v>
      </c>
      <c r="AK343" s="1" t="s">
        <v>7</v>
      </c>
      <c r="AL343" s="122"/>
      <c r="AM343" s="122"/>
      <c r="AN343" s="122"/>
      <c r="AO343" s="122"/>
      <c r="AP343" s="122"/>
      <c r="AQ343" s="122"/>
      <c r="AR343" s="122"/>
    </row>
    <row r="344" spans="1:44" s="5" customFormat="1">
      <c r="A344" s="75">
        <v>343</v>
      </c>
      <c r="B344" s="108">
        <v>2013</v>
      </c>
      <c r="C344" s="117" t="s">
        <v>138</v>
      </c>
      <c r="D344" s="9" t="s">
        <v>108</v>
      </c>
      <c r="E344" s="9" t="s">
        <v>25</v>
      </c>
      <c r="F344" s="9" t="s">
        <v>35</v>
      </c>
      <c r="G344" s="33" t="s">
        <v>43</v>
      </c>
      <c r="H344" s="17">
        <v>41466</v>
      </c>
      <c r="I344" s="17"/>
      <c r="J344" s="18">
        <v>2</v>
      </c>
      <c r="K344" s="122"/>
      <c r="L344" s="122"/>
      <c r="M344" s="122"/>
      <c r="N344" s="122"/>
      <c r="O344" s="122"/>
      <c r="P344" s="122"/>
      <c r="Q344" s="122"/>
      <c r="R344" s="122"/>
      <c r="S344" s="122">
        <f>AJ344*AN344</f>
        <v>1285.6666666666667</v>
      </c>
      <c r="T344" s="122">
        <f>$S344*0.4089</f>
        <v>525.70910000000003</v>
      </c>
      <c r="U344" s="122">
        <f>$S344*0.0263</f>
        <v>33.813033333333337</v>
      </c>
      <c r="V344" s="141">
        <v>457.74376343834359</v>
      </c>
      <c r="W344" s="122"/>
      <c r="X344" s="122"/>
      <c r="Y344" s="126">
        <f>$V344*0.4089</f>
        <v>187.17142486993868</v>
      </c>
      <c r="Z344" s="122">
        <f>V344*0.0263</f>
        <v>12.038660978428437</v>
      </c>
      <c r="AA344" s="24"/>
      <c r="AB344" s="24"/>
      <c r="AC344" s="24"/>
      <c r="AD344" s="24"/>
      <c r="AE344" s="8"/>
      <c r="AF344" s="8"/>
      <c r="AG344" s="124">
        <v>1.5</v>
      </c>
      <c r="AH344" s="122">
        <v>27.55</v>
      </c>
      <c r="AI344" s="122"/>
      <c r="AJ344" s="122">
        <v>18.366666666666667</v>
      </c>
      <c r="AK344" s="1" t="s">
        <v>83</v>
      </c>
      <c r="AL344" s="122"/>
      <c r="AM344" s="122"/>
      <c r="AN344" s="122">
        <v>70</v>
      </c>
      <c r="AO344" s="122"/>
      <c r="AP344" s="122"/>
      <c r="AQ344" s="122"/>
      <c r="AR344" s="122"/>
    </row>
    <row r="345" spans="1:44" s="5" customFormat="1">
      <c r="A345" s="75">
        <v>344</v>
      </c>
      <c r="B345" s="108">
        <v>2013</v>
      </c>
      <c r="C345" s="117" t="s">
        <v>138</v>
      </c>
      <c r="D345" s="9" t="s">
        <v>108</v>
      </c>
      <c r="E345" s="9" t="s">
        <v>17</v>
      </c>
      <c r="F345" s="9" t="s">
        <v>37</v>
      </c>
      <c r="G345" s="34" t="s">
        <v>48</v>
      </c>
      <c r="H345" s="17">
        <v>41474</v>
      </c>
      <c r="I345" s="17"/>
      <c r="J345" s="18"/>
      <c r="K345" s="122">
        <v>93.6</v>
      </c>
      <c r="L345" s="122">
        <v>59.4</v>
      </c>
      <c r="M345" s="122">
        <v>1.45</v>
      </c>
      <c r="N345" s="122">
        <v>377.4</v>
      </c>
      <c r="O345" s="122">
        <v>4.03</v>
      </c>
      <c r="P345" s="122">
        <f>AJ345*1000*AN345/100</f>
        <v>641.52</v>
      </c>
      <c r="Q345" s="122">
        <f>N345*P345/1000</f>
        <v>242.10964799999999</v>
      </c>
      <c r="R345" s="122">
        <f>K345*P345/1000</f>
        <v>60.046271999999995</v>
      </c>
      <c r="S345" s="122"/>
      <c r="T345" s="122">
        <f>$AJ345*1000*$AN345*0.01*$N345*0.001</f>
        <v>242.10964799999999</v>
      </c>
      <c r="U345" s="122">
        <f>$AJ345*1000*$AN345*0.01*$K345*0.001</f>
        <v>60.046272000000002</v>
      </c>
      <c r="V345" s="123"/>
      <c r="W345" s="122"/>
      <c r="X345" s="122"/>
      <c r="Y345" s="122"/>
      <c r="Z345" s="122"/>
      <c r="AA345" s="24"/>
      <c r="AB345" s="24"/>
      <c r="AC345" s="24"/>
      <c r="AD345" s="24"/>
      <c r="AE345" s="8"/>
      <c r="AF345" s="8"/>
      <c r="AG345" s="124">
        <v>1.5</v>
      </c>
      <c r="AH345" s="125">
        <v>40.1</v>
      </c>
      <c r="AI345" s="125"/>
      <c r="AJ345" s="125">
        <v>26.73</v>
      </c>
      <c r="AK345" s="1" t="s">
        <v>5</v>
      </c>
      <c r="AL345" s="122"/>
      <c r="AM345" s="122"/>
      <c r="AN345" s="122">
        <v>2.4</v>
      </c>
      <c r="AO345" s="122">
        <v>41.5</v>
      </c>
      <c r="AP345" s="122">
        <v>29.4</v>
      </c>
      <c r="AQ345" s="122">
        <v>74.900000000000006</v>
      </c>
      <c r="AR345" s="122">
        <v>6.7</v>
      </c>
    </row>
    <row r="346" spans="1:44" s="5" customFormat="1">
      <c r="A346" s="75">
        <v>345</v>
      </c>
      <c r="B346" s="108">
        <v>2013</v>
      </c>
      <c r="C346" s="117" t="s">
        <v>138</v>
      </c>
      <c r="D346" s="9" t="s">
        <v>108</v>
      </c>
      <c r="E346" s="9" t="s">
        <v>25</v>
      </c>
      <c r="F346" s="9" t="s">
        <v>35</v>
      </c>
      <c r="G346" s="9" t="s">
        <v>36</v>
      </c>
      <c r="H346" s="17">
        <v>41507</v>
      </c>
      <c r="I346" s="17"/>
      <c r="J346" s="18">
        <v>3</v>
      </c>
      <c r="K346" s="122"/>
      <c r="L346" s="122"/>
      <c r="M346" s="122"/>
      <c r="N346" s="122"/>
      <c r="O346" s="122"/>
      <c r="P346" s="122"/>
      <c r="Q346" s="122"/>
      <c r="R346" s="122"/>
      <c r="S346" s="122">
        <f>AJ346*AN346</f>
        <v>1812.26</v>
      </c>
      <c r="T346" s="122">
        <f>$S346*0.4089</f>
        <v>741.03311399999996</v>
      </c>
      <c r="U346" s="122">
        <f>$S346*0.0263</f>
        <v>47.662438000000002</v>
      </c>
      <c r="V346" s="141">
        <v>587.82640359211939</v>
      </c>
      <c r="W346" s="122"/>
      <c r="X346" s="122"/>
      <c r="Y346" s="126">
        <f>$V346*0.4089</f>
        <v>240.36221642881762</v>
      </c>
      <c r="Z346" s="122">
        <f>V346*0.0263</f>
        <v>15.45983441447274</v>
      </c>
      <c r="AA346" s="24"/>
      <c r="AB346" s="24"/>
      <c r="AC346" s="24"/>
      <c r="AD346" s="24"/>
      <c r="AE346" s="8"/>
      <c r="AF346" s="8"/>
      <c r="AG346" s="124">
        <v>1.5</v>
      </c>
      <c r="AH346" s="122">
        <v>73.47</v>
      </c>
      <c r="AI346" s="122"/>
      <c r="AJ346" s="122">
        <v>48.98</v>
      </c>
      <c r="AK346" s="1" t="s">
        <v>83</v>
      </c>
      <c r="AL346" s="122"/>
      <c r="AM346" s="122"/>
      <c r="AN346" s="122">
        <v>37</v>
      </c>
      <c r="AO346" s="122"/>
      <c r="AP346" s="122"/>
      <c r="AQ346" s="122"/>
      <c r="AR346" s="122"/>
    </row>
    <row r="347" spans="1:44" s="5" customFormat="1">
      <c r="A347" s="75">
        <v>346</v>
      </c>
      <c r="B347" s="108">
        <v>2013</v>
      </c>
      <c r="C347" s="117" t="s">
        <v>138</v>
      </c>
      <c r="D347" s="9" t="s">
        <v>108</v>
      </c>
      <c r="E347" s="9" t="s">
        <v>17</v>
      </c>
      <c r="F347" s="9" t="s">
        <v>37</v>
      </c>
      <c r="G347" s="9" t="s">
        <v>48</v>
      </c>
      <c r="H347" s="17">
        <v>41513</v>
      </c>
      <c r="I347" s="17"/>
      <c r="J347" s="18"/>
      <c r="K347" s="122">
        <v>89.8</v>
      </c>
      <c r="L347" s="122">
        <v>56.2</v>
      </c>
      <c r="M347" s="125" t="s">
        <v>62</v>
      </c>
      <c r="N347" s="122">
        <v>391.6</v>
      </c>
      <c r="O347" s="122">
        <v>4.3600000000000003</v>
      </c>
      <c r="P347" s="122">
        <f>AJ347*1000*AN347/100</f>
        <v>550.62</v>
      </c>
      <c r="Q347" s="122">
        <f>N347*P347/1000</f>
        <v>215.622792</v>
      </c>
      <c r="R347" s="122">
        <f>K347*P347/1000</f>
        <v>49.445675999999999</v>
      </c>
      <c r="S347" s="122"/>
      <c r="T347" s="122">
        <f>$AJ347*1000*$AN347*0.01*$N347*0.001</f>
        <v>215.62279200000003</v>
      </c>
      <c r="U347" s="122">
        <f>$AJ347*1000*$AN347*0.01*$K347*0.001</f>
        <v>49.445675999999999</v>
      </c>
      <c r="V347" s="123"/>
      <c r="W347" s="122"/>
      <c r="X347" s="122"/>
      <c r="Y347" s="122"/>
      <c r="Z347" s="122"/>
      <c r="AA347" s="24"/>
      <c r="AB347" s="24"/>
      <c r="AC347" s="24"/>
      <c r="AD347" s="24"/>
      <c r="AE347" s="8"/>
      <c r="AF347" s="8"/>
      <c r="AG347" s="124">
        <v>1.5</v>
      </c>
      <c r="AH347" s="125">
        <v>43.47</v>
      </c>
      <c r="AI347" s="125"/>
      <c r="AJ347" s="125">
        <v>28.98</v>
      </c>
      <c r="AK347" s="1" t="s">
        <v>5</v>
      </c>
      <c r="AL347" s="122"/>
      <c r="AM347" s="122"/>
      <c r="AN347" s="122">
        <v>1.9</v>
      </c>
      <c r="AO347" s="122">
        <v>45</v>
      </c>
      <c r="AP347" s="122">
        <v>31.9</v>
      </c>
      <c r="AQ347" s="122">
        <v>81.099999999999994</v>
      </c>
      <c r="AR347" s="122">
        <v>7.2</v>
      </c>
    </row>
    <row r="348" spans="1:44" s="5" customFormat="1">
      <c r="A348" s="75">
        <v>347</v>
      </c>
      <c r="B348" s="108">
        <v>2013</v>
      </c>
      <c r="C348" s="117" t="s">
        <v>138</v>
      </c>
      <c r="D348" s="9" t="s">
        <v>108</v>
      </c>
      <c r="E348" s="9" t="s">
        <v>25</v>
      </c>
      <c r="F348" s="9" t="s">
        <v>35</v>
      </c>
      <c r="G348" s="9" t="s">
        <v>36</v>
      </c>
      <c r="H348" s="17">
        <v>41566</v>
      </c>
      <c r="I348" s="17"/>
      <c r="J348" s="18">
        <v>4</v>
      </c>
      <c r="K348" s="122"/>
      <c r="L348" s="122"/>
      <c r="M348" s="122"/>
      <c r="N348" s="122"/>
      <c r="O348" s="122"/>
      <c r="P348" s="122"/>
      <c r="Q348" s="122"/>
      <c r="R348" s="122"/>
      <c r="S348" s="122">
        <f>AJ348*AN348</f>
        <v>1812.26</v>
      </c>
      <c r="T348" s="122">
        <f>$S348*0.4089</f>
        <v>741.03311399999996</v>
      </c>
      <c r="U348" s="122">
        <f>$S348*0.0263</f>
        <v>47.662438000000002</v>
      </c>
      <c r="V348" s="141">
        <v>587.82640359211939</v>
      </c>
      <c r="W348" s="122"/>
      <c r="X348" s="122"/>
      <c r="Y348" s="122"/>
      <c r="Z348" s="122"/>
      <c r="AA348" s="24"/>
      <c r="AB348" s="24"/>
      <c r="AC348" s="24"/>
      <c r="AD348" s="24"/>
      <c r="AE348" s="8"/>
      <c r="AF348" s="8"/>
      <c r="AG348" s="124">
        <v>1.5</v>
      </c>
      <c r="AH348" s="122">
        <v>73.47</v>
      </c>
      <c r="AI348" s="122"/>
      <c r="AJ348" s="122">
        <v>48.98</v>
      </c>
      <c r="AK348" s="1" t="s">
        <v>83</v>
      </c>
      <c r="AL348" s="122"/>
      <c r="AM348" s="122"/>
      <c r="AN348" s="122">
        <v>37</v>
      </c>
      <c r="AO348" s="122"/>
      <c r="AP348" s="122"/>
      <c r="AQ348" s="122"/>
      <c r="AR348" s="122"/>
    </row>
    <row r="349" spans="1:44" s="5" customFormat="1">
      <c r="A349" s="75">
        <v>348</v>
      </c>
      <c r="B349" s="108">
        <v>2013</v>
      </c>
      <c r="C349" s="118" t="s">
        <v>139</v>
      </c>
      <c r="D349" s="9" t="s">
        <v>108</v>
      </c>
      <c r="E349" s="9" t="s">
        <v>17</v>
      </c>
      <c r="F349" s="9" t="s">
        <v>37</v>
      </c>
      <c r="G349" s="9" t="s">
        <v>48</v>
      </c>
      <c r="H349" s="17">
        <v>41340</v>
      </c>
      <c r="I349" s="17"/>
      <c r="J349" s="18"/>
      <c r="K349" s="122">
        <v>106</v>
      </c>
      <c r="L349" s="122">
        <v>74.3</v>
      </c>
      <c r="M349" s="125" t="s">
        <v>62</v>
      </c>
      <c r="N349" s="122">
        <v>396.2</v>
      </c>
      <c r="O349" s="122">
        <v>3.72</v>
      </c>
      <c r="P349" s="122">
        <f>AJ349*1000*AN349/100</f>
        <v>808.20880085976535</v>
      </c>
      <c r="Q349" s="122">
        <f>N349*P349/1000</f>
        <v>320.21232690063903</v>
      </c>
      <c r="R349" s="122">
        <f>K349*P349/1000</f>
        <v>85.670132891135125</v>
      </c>
      <c r="S349" s="122"/>
      <c r="T349" s="122">
        <f>$AJ349*1000*$AN349*0.01*$N349*0.001</f>
        <v>320.21232690063903</v>
      </c>
      <c r="U349" s="122">
        <f>$AJ349*1000*$AN349*0.01*$K349*0.001</f>
        <v>85.670132891135125</v>
      </c>
      <c r="V349" s="140"/>
      <c r="W349" s="122"/>
      <c r="X349" s="122"/>
      <c r="Y349" s="122"/>
      <c r="Z349" s="122"/>
      <c r="AA349" s="24"/>
      <c r="AB349" s="24"/>
      <c r="AC349" s="24"/>
      <c r="AD349" s="24"/>
      <c r="AE349" s="8"/>
      <c r="AF349" s="8"/>
      <c r="AG349" s="124">
        <v>3.4</v>
      </c>
      <c r="AH349" s="122">
        <v>83.27</v>
      </c>
      <c r="AI349" s="122"/>
      <c r="AJ349" s="122">
        <v>24.491175783629252</v>
      </c>
      <c r="AK349" s="1" t="s">
        <v>5</v>
      </c>
      <c r="AL349" s="122"/>
      <c r="AM349" s="122"/>
      <c r="AN349" s="122">
        <v>3.3</v>
      </c>
      <c r="AO349" s="122">
        <v>38.022548675537109</v>
      </c>
      <c r="AP349" s="122">
        <v>26.94029426574707</v>
      </c>
      <c r="AQ349" s="122">
        <v>68.575286865234375</v>
      </c>
      <c r="AR349" s="122">
        <v>6.1227936744689941</v>
      </c>
    </row>
    <row r="350" spans="1:44" s="5" customFormat="1">
      <c r="A350" s="75">
        <v>349</v>
      </c>
      <c r="B350" s="108">
        <v>2013</v>
      </c>
      <c r="C350" s="118" t="s">
        <v>139</v>
      </c>
      <c r="D350" s="9" t="s">
        <v>108</v>
      </c>
      <c r="E350" s="9" t="s">
        <v>25</v>
      </c>
      <c r="F350" s="9" t="s">
        <v>35</v>
      </c>
      <c r="G350" s="9" t="s">
        <v>36</v>
      </c>
      <c r="H350" s="17">
        <v>41431</v>
      </c>
      <c r="I350" s="17"/>
      <c r="J350" s="18">
        <v>1</v>
      </c>
      <c r="K350" s="122"/>
      <c r="L350" s="122"/>
      <c r="M350" s="122"/>
      <c r="N350" s="122"/>
      <c r="O350" s="122"/>
      <c r="P350" s="122"/>
      <c r="Q350" s="122"/>
      <c r="R350" s="122"/>
      <c r="S350" s="122">
        <f>AJ350*AN350</f>
        <v>1019.3499714080033</v>
      </c>
      <c r="T350" s="122">
        <f>$S350*0.4089</f>
        <v>416.81220330873253</v>
      </c>
      <c r="U350" s="122">
        <f>$S350*0.0263</f>
        <v>26.808904248030487</v>
      </c>
      <c r="V350" s="140"/>
      <c r="W350" s="122"/>
      <c r="X350" s="122"/>
      <c r="Y350" s="122"/>
      <c r="Z350" s="122"/>
      <c r="AA350" s="24"/>
      <c r="AB350" s="24"/>
      <c r="AC350" s="24"/>
      <c r="AD350" s="24"/>
      <c r="AE350" s="8"/>
      <c r="AF350" s="8"/>
      <c r="AG350" s="124">
        <v>3.4</v>
      </c>
      <c r="AH350" s="122">
        <v>93.67</v>
      </c>
      <c r="AI350" s="122"/>
      <c r="AJ350" s="122">
        <v>27.549999227243333</v>
      </c>
      <c r="AK350" s="1" t="s">
        <v>83</v>
      </c>
      <c r="AL350" s="122"/>
      <c r="AM350" s="122"/>
      <c r="AN350" s="122">
        <v>37</v>
      </c>
      <c r="AO350" s="122"/>
      <c r="AP350" s="122"/>
      <c r="AQ350" s="122"/>
      <c r="AR350" s="122"/>
    </row>
    <row r="351" spans="1:44" s="5" customFormat="1">
      <c r="A351" s="75">
        <v>350</v>
      </c>
      <c r="B351" s="108">
        <v>2013</v>
      </c>
      <c r="C351" s="118" t="s">
        <v>139</v>
      </c>
      <c r="D351" s="9" t="s">
        <v>108</v>
      </c>
      <c r="E351" s="9" t="s">
        <v>25</v>
      </c>
      <c r="F351" s="9" t="s">
        <v>35</v>
      </c>
      <c r="G351" s="9" t="s">
        <v>45</v>
      </c>
      <c r="H351" s="17">
        <v>41432</v>
      </c>
      <c r="I351" s="17"/>
      <c r="J351" s="18">
        <v>1</v>
      </c>
      <c r="K351" s="122"/>
      <c r="L351" s="122"/>
      <c r="M351" s="122"/>
      <c r="N351" s="122"/>
      <c r="O351" s="122"/>
      <c r="P351" s="122"/>
      <c r="Q351" s="122"/>
      <c r="R351" s="122"/>
      <c r="S351" s="122">
        <f>AJ351*AN351</f>
        <v>4249.4117647058829</v>
      </c>
      <c r="T351" s="122">
        <f>$S351*0.4089</f>
        <v>1737.5844705882355</v>
      </c>
      <c r="U351" s="122">
        <f>$S351*0.0263</f>
        <v>111.75952941176472</v>
      </c>
      <c r="V351" s="141">
        <v>1389.252887919615</v>
      </c>
      <c r="W351" s="122"/>
      <c r="X351" s="122"/>
      <c r="Y351" s="126">
        <f>$V351*0.4089</f>
        <v>568.06550587033053</v>
      </c>
      <c r="Z351" s="122">
        <f>$V351*0.0263</f>
        <v>36.537350952285877</v>
      </c>
      <c r="AA351" s="24"/>
      <c r="AB351" s="24"/>
      <c r="AC351" s="24"/>
      <c r="AD351" s="24"/>
      <c r="AE351" s="8"/>
      <c r="AF351" s="8"/>
      <c r="AG351" s="124">
        <v>3.4</v>
      </c>
      <c r="AH351" s="122">
        <f>75+93</f>
        <v>168</v>
      </c>
      <c r="AI351" s="122"/>
      <c r="AJ351" s="122">
        <f>AH351/AG351</f>
        <v>49.411764705882355</v>
      </c>
      <c r="AK351" s="1" t="s">
        <v>83</v>
      </c>
      <c r="AL351" s="122"/>
      <c r="AM351" s="122"/>
      <c r="AN351" s="122">
        <v>86</v>
      </c>
      <c r="AO351" s="122"/>
      <c r="AP351" s="122"/>
      <c r="AQ351" s="122"/>
      <c r="AR351" s="122"/>
    </row>
    <row r="352" spans="1:44" s="5" customFormat="1">
      <c r="A352" s="75">
        <v>351</v>
      </c>
      <c r="B352" s="108">
        <v>2013</v>
      </c>
      <c r="C352" s="118" t="s">
        <v>139</v>
      </c>
      <c r="D352" s="9" t="s">
        <v>108</v>
      </c>
      <c r="E352" s="9" t="s">
        <v>17</v>
      </c>
      <c r="F352" s="9" t="s">
        <v>37</v>
      </c>
      <c r="G352" s="9" t="s">
        <v>48</v>
      </c>
      <c r="H352" s="17">
        <v>41436</v>
      </c>
      <c r="I352" s="17"/>
      <c r="J352" s="18"/>
      <c r="K352" s="122">
        <v>62.9</v>
      </c>
      <c r="L352" s="122">
        <v>37.700000000000003</v>
      </c>
      <c r="M352" s="125" t="s">
        <v>62</v>
      </c>
      <c r="N352" s="122">
        <v>390.9</v>
      </c>
      <c r="O352" s="122">
        <v>6.21</v>
      </c>
      <c r="P352" s="122">
        <f>AJ352*1000*AN352/100</f>
        <v>399.99998878030243</v>
      </c>
      <c r="Q352" s="122">
        <f>N352*P352/1000</f>
        <v>156.35999561422022</v>
      </c>
      <c r="R352" s="122">
        <f>K352*P352/1000</f>
        <v>25.159999294281025</v>
      </c>
      <c r="S352" s="122"/>
      <c r="T352" s="122">
        <f>$AJ352*1000*$AN352*0.01*$N352*0.001</f>
        <v>156.35999561422022</v>
      </c>
      <c r="U352" s="122">
        <f>$AJ352*1000*$AN352*0.01*$K352*0.001</f>
        <v>25.159999294281025</v>
      </c>
      <c r="V352" s="140"/>
      <c r="W352" s="122"/>
      <c r="X352" s="122"/>
      <c r="Y352" s="122"/>
      <c r="Z352" s="122"/>
      <c r="AA352" s="24"/>
      <c r="AB352" s="24"/>
      <c r="AC352" s="24"/>
      <c r="AD352" s="24"/>
      <c r="AE352" s="8"/>
      <c r="AF352" s="8"/>
      <c r="AG352" s="124">
        <v>3.4</v>
      </c>
      <c r="AH352" s="122">
        <v>68</v>
      </c>
      <c r="AI352" s="122"/>
      <c r="AJ352" s="122">
        <v>19.999999439015124</v>
      </c>
      <c r="AK352" s="1" t="s">
        <v>5</v>
      </c>
      <c r="AL352" s="122"/>
      <c r="AM352" s="122"/>
      <c r="AN352" s="122">
        <v>2</v>
      </c>
      <c r="AO352" s="122">
        <v>31.049999237060547</v>
      </c>
      <c r="AP352" s="122">
        <v>22</v>
      </c>
      <c r="AQ352" s="122">
        <v>55.999996185302734</v>
      </c>
      <c r="AR352" s="122">
        <v>5</v>
      </c>
    </row>
    <row r="353" spans="1:44">
      <c r="A353" s="75">
        <v>352</v>
      </c>
      <c r="B353" s="108">
        <v>2013</v>
      </c>
      <c r="C353" s="118" t="s">
        <v>139</v>
      </c>
      <c r="D353" s="9" t="s">
        <v>108</v>
      </c>
      <c r="E353" s="9" t="s">
        <v>26</v>
      </c>
      <c r="F353" s="9" t="s">
        <v>33</v>
      </c>
      <c r="G353" s="9" t="s">
        <v>122</v>
      </c>
      <c r="H353" s="17">
        <v>41443</v>
      </c>
      <c r="I353" s="17"/>
      <c r="J353" s="18"/>
      <c r="K353" s="122"/>
      <c r="L353" s="122"/>
      <c r="M353" s="122"/>
      <c r="N353" s="122"/>
      <c r="O353" s="122"/>
      <c r="P353" s="122"/>
      <c r="Q353" s="122"/>
      <c r="R353" s="122"/>
      <c r="S353" s="142"/>
      <c r="T353" s="122"/>
      <c r="U353" s="122"/>
      <c r="V353" s="143"/>
      <c r="W353" s="122"/>
      <c r="X353" s="122"/>
      <c r="Y353" s="142"/>
      <c r="Z353" s="142"/>
      <c r="AG353" s="124">
        <v>3.4</v>
      </c>
      <c r="AH353" s="122">
        <v>6.94</v>
      </c>
      <c r="AI353" s="122"/>
      <c r="AJ353" s="122">
        <v>2.04</v>
      </c>
      <c r="AK353" s="1" t="s">
        <v>7</v>
      </c>
      <c r="AL353" s="122"/>
      <c r="AM353" s="142"/>
      <c r="AN353" s="122"/>
      <c r="AO353" s="122"/>
      <c r="AP353" s="122"/>
      <c r="AQ353" s="122"/>
      <c r="AR353" s="122"/>
    </row>
    <row r="354" spans="1:44">
      <c r="A354" s="75">
        <v>353</v>
      </c>
      <c r="B354" s="108">
        <v>2013</v>
      </c>
      <c r="C354" s="118" t="s">
        <v>139</v>
      </c>
      <c r="D354" s="9" t="s">
        <v>108</v>
      </c>
      <c r="E354" s="9" t="s">
        <v>25</v>
      </c>
      <c r="F354" s="9" t="s">
        <v>35</v>
      </c>
      <c r="G354" s="33" t="s">
        <v>43</v>
      </c>
      <c r="H354" s="17">
        <v>41466</v>
      </c>
      <c r="I354" s="17"/>
      <c r="J354" s="18">
        <v>2</v>
      </c>
      <c r="K354" s="122"/>
      <c r="L354" s="122"/>
      <c r="M354" s="122"/>
      <c r="N354" s="122"/>
      <c r="O354" s="122"/>
      <c r="P354" s="122"/>
      <c r="Q354" s="122"/>
      <c r="R354" s="122"/>
      <c r="S354" s="122">
        <f>AJ354*AN354</f>
        <v>1285.7352580537442</v>
      </c>
      <c r="T354" s="122">
        <f>$S354*0.4089</f>
        <v>525.73714701817596</v>
      </c>
      <c r="U354" s="122">
        <f>$S354*0.0263</f>
        <v>33.814837286813471</v>
      </c>
      <c r="V354" s="141">
        <v>525.30326839259658</v>
      </c>
      <c r="W354" s="122"/>
      <c r="X354" s="122"/>
      <c r="Y354" s="126">
        <f>$V354*0.4089</f>
        <v>214.79650644573275</v>
      </c>
      <c r="Z354" s="122">
        <f>$V354*0.0263</f>
        <v>13.81547595872529</v>
      </c>
      <c r="AG354" s="124">
        <v>3.4</v>
      </c>
      <c r="AH354" s="122">
        <v>62.45</v>
      </c>
      <c r="AI354" s="122"/>
      <c r="AJ354" s="122">
        <v>18.367646543624918</v>
      </c>
      <c r="AK354" s="1" t="s">
        <v>83</v>
      </c>
      <c r="AL354" s="122"/>
      <c r="AM354" s="122"/>
      <c r="AN354" s="122">
        <v>70</v>
      </c>
      <c r="AO354" s="122"/>
      <c r="AP354" s="122"/>
      <c r="AQ354" s="122"/>
      <c r="AR354" s="122"/>
    </row>
    <row r="355" spans="1:44">
      <c r="A355" s="75">
        <v>354</v>
      </c>
      <c r="B355" s="108">
        <v>2013</v>
      </c>
      <c r="C355" s="118" t="s">
        <v>139</v>
      </c>
      <c r="D355" s="9" t="s">
        <v>108</v>
      </c>
      <c r="E355" s="9" t="s">
        <v>17</v>
      </c>
      <c r="F355" s="9" t="s">
        <v>37</v>
      </c>
      <c r="G355" s="9" t="s">
        <v>48</v>
      </c>
      <c r="H355" s="17">
        <v>41474</v>
      </c>
      <c r="I355" s="17"/>
      <c r="J355" s="18"/>
      <c r="K355" s="122">
        <v>105</v>
      </c>
      <c r="L355" s="122">
        <v>59</v>
      </c>
      <c r="M355" s="1">
        <v>3.61</v>
      </c>
      <c r="N355" s="122">
        <v>401.8</v>
      </c>
      <c r="O355" s="122">
        <v>3.83</v>
      </c>
      <c r="P355" s="122">
        <f>AJ355*1000*AN355/100</f>
        <v>748.58821429678358</v>
      </c>
      <c r="Q355" s="122">
        <f>N355*P355/1000</f>
        <v>300.78274450444769</v>
      </c>
      <c r="R355" s="122">
        <f>K355*P355/1000</f>
        <v>78.60176250116227</v>
      </c>
      <c r="S355" s="122"/>
      <c r="T355" s="122">
        <f>$AJ355*1000*$AN355*0.01*$N355*0.001</f>
        <v>300.78274450444769</v>
      </c>
      <c r="U355" s="122">
        <f>$AJ355*1000*$AN355*0.01*$K355*0.001</f>
        <v>78.60176250116227</v>
      </c>
      <c r="V355" s="140"/>
      <c r="W355" s="122"/>
      <c r="X355" s="122"/>
      <c r="Y355" s="122"/>
      <c r="Z355" s="122"/>
      <c r="AG355" s="124">
        <v>3.4</v>
      </c>
      <c r="AH355" s="122">
        <v>90.9</v>
      </c>
      <c r="AI355" s="122"/>
      <c r="AJ355" s="122">
        <v>26.735293367742273</v>
      </c>
      <c r="AK355" s="1" t="s">
        <v>5</v>
      </c>
      <c r="AL355" s="122"/>
      <c r="AM355" s="122"/>
      <c r="AN355" s="122">
        <v>2.8</v>
      </c>
      <c r="AO355" s="122">
        <v>41.506542205810547</v>
      </c>
      <c r="AP355" s="122">
        <v>29.408824920654297</v>
      </c>
      <c r="AQ355" s="122">
        <v>74.858818054199219</v>
      </c>
      <c r="AR355" s="122">
        <v>6.6838235855102539</v>
      </c>
    </row>
    <row r="356" spans="1:44">
      <c r="A356" s="75">
        <v>355</v>
      </c>
      <c r="B356" s="108">
        <v>2013</v>
      </c>
      <c r="C356" s="118" t="s">
        <v>139</v>
      </c>
      <c r="D356" s="9" t="s">
        <v>108</v>
      </c>
      <c r="E356" s="9" t="s">
        <v>25</v>
      </c>
      <c r="F356" s="9" t="s">
        <v>35</v>
      </c>
      <c r="G356" s="34" t="s">
        <v>36</v>
      </c>
      <c r="H356" s="17">
        <v>41507</v>
      </c>
      <c r="I356" s="17"/>
      <c r="J356" s="18">
        <v>3</v>
      </c>
      <c r="K356" s="122"/>
      <c r="L356" s="122"/>
      <c r="M356" s="122"/>
      <c r="N356" s="122"/>
      <c r="O356" s="122"/>
      <c r="P356" s="122"/>
      <c r="Q356" s="122"/>
      <c r="R356" s="122"/>
      <c r="S356" s="122">
        <f>AJ356*AN356</f>
        <v>1812.2381844622053</v>
      </c>
      <c r="T356" s="122">
        <f>$S356*0.4089</f>
        <v>741.02419362659566</v>
      </c>
      <c r="U356" s="122">
        <f>$S356*0.0263</f>
        <v>47.661864251356</v>
      </c>
      <c r="V356" s="141">
        <v>601.06809485736505</v>
      </c>
      <c r="W356" s="122"/>
      <c r="X356" s="122"/>
      <c r="Y356" s="126">
        <f>$V356*0.4089</f>
        <v>245.77674398717656</v>
      </c>
      <c r="Z356" s="122">
        <f>$V356*0.0263</f>
        <v>15.808090894748702</v>
      </c>
      <c r="AG356" s="124">
        <v>3.4</v>
      </c>
      <c r="AH356" s="122">
        <v>166.53</v>
      </c>
      <c r="AI356" s="122"/>
      <c r="AJ356" s="122">
        <v>48.979410390870413</v>
      </c>
      <c r="AK356" s="1" t="s">
        <v>83</v>
      </c>
      <c r="AL356" s="122"/>
      <c r="AM356" s="122"/>
      <c r="AN356" s="122">
        <v>37</v>
      </c>
      <c r="AO356" s="122"/>
      <c r="AP356" s="122"/>
      <c r="AQ356" s="122"/>
      <c r="AR356" s="122"/>
    </row>
    <row r="357" spans="1:44">
      <c r="A357" s="75">
        <v>356</v>
      </c>
      <c r="B357" s="108">
        <v>2013</v>
      </c>
      <c r="C357" s="118" t="s">
        <v>139</v>
      </c>
      <c r="D357" s="9" t="s">
        <v>108</v>
      </c>
      <c r="E357" s="9" t="s">
        <v>17</v>
      </c>
      <c r="F357" s="9" t="s">
        <v>37</v>
      </c>
      <c r="G357" s="9" t="s">
        <v>48</v>
      </c>
      <c r="H357" s="17">
        <v>41513</v>
      </c>
      <c r="I357" s="17"/>
      <c r="J357" s="18"/>
      <c r="K357" s="122">
        <v>87.2</v>
      </c>
      <c r="L357" s="122">
        <v>51.3</v>
      </c>
      <c r="M357" s="125" t="s">
        <v>62</v>
      </c>
      <c r="N357" s="122">
        <v>386</v>
      </c>
      <c r="O357" s="122">
        <v>4.43</v>
      </c>
      <c r="P357" s="122">
        <f>AJ357*1000*AN357/100</f>
        <v>579.588219037106</v>
      </c>
      <c r="Q357" s="122">
        <f>N357*P357/1000</f>
        <v>223.72105254832292</v>
      </c>
      <c r="R357" s="122">
        <f>K357*P357/1000</f>
        <v>50.540092700035643</v>
      </c>
      <c r="S357" s="122"/>
      <c r="T357" s="122">
        <f>$AJ357*1000*$AN357*0.01*$N357*0.001</f>
        <v>223.72105254832292</v>
      </c>
      <c r="U357" s="122">
        <f>$AJ357*1000*$AN357*0.01*$K357*0.001</f>
        <v>50.54009270003565</v>
      </c>
      <c r="V357" s="140"/>
      <c r="W357" s="122"/>
      <c r="X357" s="122"/>
      <c r="Y357" s="122"/>
      <c r="Z357" s="122"/>
      <c r="AG357" s="124">
        <v>3.4</v>
      </c>
      <c r="AH357" s="122">
        <v>98.53</v>
      </c>
      <c r="AI357" s="122"/>
      <c r="AJ357" s="122">
        <v>28.979410951855296</v>
      </c>
      <c r="AK357" s="1" t="s">
        <v>5</v>
      </c>
      <c r="AL357" s="122"/>
      <c r="AM357" s="122"/>
      <c r="AN357" s="122">
        <v>2</v>
      </c>
      <c r="AO357" s="122">
        <v>44.990531921386719</v>
      </c>
      <c r="AP357" s="122">
        <v>31.877353668212891</v>
      </c>
      <c r="AQ357" s="122">
        <v>81.142349243164063</v>
      </c>
      <c r="AR357" s="122">
        <v>7.2448525428771973</v>
      </c>
    </row>
    <row r="358" spans="1:44">
      <c r="A358" s="75">
        <v>357</v>
      </c>
      <c r="B358" s="108">
        <v>2013</v>
      </c>
      <c r="C358" s="118" t="s">
        <v>139</v>
      </c>
      <c r="D358" s="9" t="s">
        <v>108</v>
      </c>
      <c r="E358" s="9" t="s">
        <v>25</v>
      </c>
      <c r="F358" s="9" t="s">
        <v>35</v>
      </c>
      <c r="G358" s="9" t="s">
        <v>36</v>
      </c>
      <c r="H358" s="17">
        <v>41566</v>
      </c>
      <c r="I358" s="17"/>
      <c r="J358" s="18">
        <v>4</v>
      </c>
      <c r="K358" s="122"/>
      <c r="L358" s="122"/>
      <c r="M358" s="122"/>
      <c r="N358" s="122"/>
      <c r="O358" s="122"/>
      <c r="P358" s="122"/>
      <c r="Q358" s="122"/>
      <c r="R358" s="122"/>
      <c r="S358" s="122">
        <f>AJ358*AN358</f>
        <v>1812.2381844622053</v>
      </c>
      <c r="T358" s="122">
        <f>$S358*0.4089</f>
        <v>741.02419362659566</v>
      </c>
      <c r="U358" s="122">
        <f>$S358*0.0263</f>
        <v>47.661864251356</v>
      </c>
      <c r="V358" s="141">
        <v>601.06809485736505</v>
      </c>
      <c r="W358" s="122"/>
      <c r="X358" s="122"/>
      <c r="Y358" s="122"/>
      <c r="Z358" s="122"/>
      <c r="AG358" s="124">
        <v>3.4</v>
      </c>
      <c r="AH358" s="122">
        <v>166.53</v>
      </c>
      <c r="AI358" s="122"/>
      <c r="AJ358" s="122">
        <v>48.979410390870413</v>
      </c>
      <c r="AK358" s="1" t="s">
        <v>83</v>
      </c>
      <c r="AL358" s="122"/>
      <c r="AM358" s="122"/>
      <c r="AN358" s="122">
        <v>37</v>
      </c>
      <c r="AO358" s="122"/>
      <c r="AP358" s="122"/>
      <c r="AQ358" s="122"/>
      <c r="AR358" s="122"/>
    </row>
    <row r="359" spans="1:44">
      <c r="A359" s="75">
        <v>358</v>
      </c>
      <c r="B359" s="108">
        <v>2013</v>
      </c>
      <c r="C359" s="118" t="s">
        <v>139</v>
      </c>
      <c r="D359" s="9" t="s">
        <v>108</v>
      </c>
      <c r="E359" s="9" t="s">
        <v>25</v>
      </c>
      <c r="F359" s="9" t="s">
        <v>29</v>
      </c>
      <c r="G359" s="9" t="s">
        <v>47</v>
      </c>
      <c r="H359" s="17">
        <v>41614</v>
      </c>
      <c r="I359" s="17">
        <v>41615</v>
      </c>
      <c r="J359" s="18"/>
      <c r="K359" s="122"/>
      <c r="L359" s="122"/>
      <c r="M359" s="122"/>
      <c r="N359" s="122"/>
      <c r="O359" s="122"/>
      <c r="P359" s="122"/>
      <c r="Q359" s="122"/>
      <c r="R359" s="122"/>
      <c r="S359" s="122">
        <f>AJ359*AM359*AL359</f>
        <v>30.882352941176471</v>
      </c>
      <c r="T359" s="122">
        <f>$S359*0.4089</f>
        <v>12.627794117647058</v>
      </c>
      <c r="U359" s="122">
        <f>$S359*0.0263</f>
        <v>0.81220588235294122</v>
      </c>
      <c r="V359" s="140"/>
      <c r="W359" s="122"/>
      <c r="X359" s="122"/>
      <c r="Y359" s="122"/>
      <c r="Z359" s="122"/>
      <c r="AG359" s="124">
        <v>3.4</v>
      </c>
      <c r="AH359" s="124">
        <v>70</v>
      </c>
      <c r="AI359" s="124"/>
      <c r="AJ359" s="124">
        <f t="shared" ref="AJ359:AJ380" si="11">AH359/AG359</f>
        <v>20.588235294117649</v>
      </c>
      <c r="AK359" s="1" t="s">
        <v>66</v>
      </c>
      <c r="AL359" s="122">
        <v>1</v>
      </c>
      <c r="AM359" s="122">
        <v>1.5</v>
      </c>
      <c r="AN359" s="122"/>
      <c r="AO359" s="122"/>
      <c r="AP359" s="122"/>
      <c r="AQ359" s="122"/>
      <c r="AR359" s="122"/>
    </row>
    <row r="360" spans="1:44">
      <c r="A360" s="75">
        <v>359</v>
      </c>
      <c r="B360" s="107">
        <v>2014</v>
      </c>
      <c r="C360" s="117" t="s">
        <v>138</v>
      </c>
      <c r="D360" s="9" t="s">
        <v>108</v>
      </c>
      <c r="E360" s="9" t="s">
        <v>25</v>
      </c>
      <c r="F360" s="9" t="s">
        <v>29</v>
      </c>
      <c r="G360" s="34" t="s">
        <v>47</v>
      </c>
      <c r="H360" s="17">
        <v>41678</v>
      </c>
      <c r="I360" s="17">
        <v>41685</v>
      </c>
      <c r="J360" s="18"/>
      <c r="K360" s="122"/>
      <c r="L360" s="122"/>
      <c r="M360" s="122"/>
      <c r="N360" s="122"/>
      <c r="O360" s="122"/>
      <c r="P360" s="122"/>
      <c r="Q360" s="122"/>
      <c r="R360" s="122"/>
      <c r="S360" s="122">
        <f>AJ360*AM360*AL360</f>
        <v>219.5454545454545</v>
      </c>
      <c r="T360" s="122">
        <f>$S360*0.4089</f>
        <v>89.772136363636349</v>
      </c>
      <c r="U360" s="122">
        <f>$S360*0.0263</f>
        <v>5.7740454545454538</v>
      </c>
      <c r="V360" s="123"/>
      <c r="W360" s="122"/>
      <c r="X360" s="122"/>
      <c r="Y360" s="122"/>
      <c r="Z360" s="122"/>
      <c r="AG360" s="124">
        <v>2.2000000000000002</v>
      </c>
      <c r="AH360" s="122">
        <v>46</v>
      </c>
      <c r="AI360" s="122"/>
      <c r="AJ360" s="122">
        <f t="shared" si="11"/>
        <v>20.909090909090907</v>
      </c>
      <c r="AK360" s="1" t="s">
        <v>66</v>
      </c>
      <c r="AL360" s="122">
        <v>7</v>
      </c>
      <c r="AM360" s="122">
        <v>1.5</v>
      </c>
      <c r="AN360" s="122"/>
      <c r="AO360" s="122"/>
      <c r="AP360" s="122"/>
      <c r="AQ360" s="122"/>
      <c r="AR360" s="122"/>
    </row>
    <row r="361" spans="1:44">
      <c r="A361" s="75">
        <v>360</v>
      </c>
      <c r="B361" s="107">
        <v>2014</v>
      </c>
      <c r="C361" s="117" t="s">
        <v>138</v>
      </c>
      <c r="D361" s="9" t="s">
        <v>108</v>
      </c>
      <c r="E361" s="9" t="s">
        <v>17</v>
      </c>
      <c r="F361" s="9" t="s">
        <v>37</v>
      </c>
      <c r="G361" s="34" t="s">
        <v>48</v>
      </c>
      <c r="H361" s="17">
        <v>41710</v>
      </c>
      <c r="I361" s="17"/>
      <c r="J361" s="18"/>
      <c r="K361" s="122">
        <v>87.2</v>
      </c>
      <c r="L361" s="122">
        <v>56.1</v>
      </c>
      <c r="M361" s="125" t="s">
        <v>62</v>
      </c>
      <c r="N361" s="122">
        <v>394.6</v>
      </c>
      <c r="O361" s="122">
        <v>4.53</v>
      </c>
      <c r="P361" s="122">
        <f>AJ361*1000*AN361/100</f>
        <v>763.63636363636351</v>
      </c>
      <c r="Q361" s="122">
        <f>N361*P361/1000</f>
        <v>301.33090909090907</v>
      </c>
      <c r="R361" s="122">
        <f>K361*P361/1000</f>
        <v>66.589090909090899</v>
      </c>
      <c r="S361" s="144"/>
      <c r="T361" s="122">
        <f>$AJ361*1000*$AN361*0.01*$N361*0.001</f>
        <v>301.33090909090907</v>
      </c>
      <c r="U361" s="122">
        <f>$AJ361*1000*$AN361*0.01*$K361*0.001</f>
        <v>66.589090909090899</v>
      </c>
      <c r="V361" s="145"/>
      <c r="W361" s="122"/>
      <c r="X361" s="122"/>
      <c r="Y361" s="144"/>
      <c r="Z361" s="144"/>
      <c r="AG361" s="124">
        <v>2.2000000000000002</v>
      </c>
      <c r="AH361" s="125">
        <v>60</v>
      </c>
      <c r="AI361" s="125"/>
      <c r="AJ361" s="125">
        <f t="shared" si="11"/>
        <v>27.27272727272727</v>
      </c>
      <c r="AK361" s="1" t="s">
        <v>5</v>
      </c>
      <c r="AL361" s="122"/>
      <c r="AM361" s="144"/>
      <c r="AN361" s="122">
        <v>2.8</v>
      </c>
      <c r="AO361" s="122">
        <v>54.9</v>
      </c>
      <c r="AP361" s="122">
        <v>32.700000000000003</v>
      </c>
      <c r="AQ361" s="122">
        <v>76.400000000000006</v>
      </c>
      <c r="AR361" s="122">
        <v>6.8</v>
      </c>
    </row>
    <row r="362" spans="1:44">
      <c r="A362" s="75">
        <v>361</v>
      </c>
      <c r="B362" s="107">
        <v>2014</v>
      </c>
      <c r="C362" s="117" t="s">
        <v>138</v>
      </c>
      <c r="D362" s="9" t="s">
        <v>108</v>
      </c>
      <c r="E362" s="9" t="s">
        <v>25</v>
      </c>
      <c r="F362" s="9" t="s">
        <v>29</v>
      </c>
      <c r="G362" s="9" t="s">
        <v>44</v>
      </c>
      <c r="H362" s="17">
        <v>41729</v>
      </c>
      <c r="I362" s="17">
        <v>41744</v>
      </c>
      <c r="J362" s="20">
        <v>1</v>
      </c>
      <c r="K362" s="122"/>
      <c r="L362" s="122"/>
      <c r="M362" s="122"/>
      <c r="N362" s="122"/>
      <c r="O362" s="122"/>
      <c r="P362" s="122"/>
      <c r="Q362" s="122"/>
      <c r="R362" s="122"/>
      <c r="S362" s="122">
        <f>AJ362*AM362*AL362</f>
        <v>2244.8863636363635</v>
      </c>
      <c r="T362" s="122">
        <f>$S362*0.4089</f>
        <v>917.93403409090899</v>
      </c>
      <c r="U362" s="122">
        <f>$S362*0.0263</f>
        <v>59.040511363636362</v>
      </c>
      <c r="V362" s="123"/>
      <c r="W362" s="122"/>
      <c r="X362" s="122"/>
      <c r="Y362" s="122"/>
      <c r="Z362" s="122"/>
      <c r="AG362" s="124">
        <v>2.2000000000000002</v>
      </c>
      <c r="AH362" s="122">
        <v>27.4375</v>
      </c>
      <c r="AI362" s="122"/>
      <c r="AJ362" s="122">
        <f t="shared" si="11"/>
        <v>12.471590909090908</v>
      </c>
      <c r="AK362" s="1" t="s">
        <v>66</v>
      </c>
      <c r="AL362" s="122">
        <v>15</v>
      </c>
      <c r="AM362" s="122">
        <v>12</v>
      </c>
      <c r="AN362" s="122"/>
      <c r="AO362" s="122"/>
      <c r="AP362" s="122"/>
      <c r="AQ362" s="122"/>
      <c r="AR362" s="122"/>
    </row>
    <row r="363" spans="1:44">
      <c r="A363" s="75">
        <v>362</v>
      </c>
      <c r="B363" s="107">
        <v>2014</v>
      </c>
      <c r="C363" s="117" t="s">
        <v>138</v>
      </c>
      <c r="D363" s="9" t="s">
        <v>108</v>
      </c>
      <c r="E363" s="9" t="s">
        <v>17</v>
      </c>
      <c r="F363" s="9" t="s">
        <v>34</v>
      </c>
      <c r="G363" s="33" t="s">
        <v>21</v>
      </c>
      <c r="H363" s="17">
        <v>41751</v>
      </c>
      <c r="I363" s="17"/>
      <c r="J363" s="18"/>
      <c r="K363" s="122">
        <v>270</v>
      </c>
      <c r="L363" s="122">
        <v>135</v>
      </c>
      <c r="M363" s="122">
        <v>135</v>
      </c>
      <c r="N363" s="122">
        <v>0</v>
      </c>
      <c r="O363" s="122">
        <v>0</v>
      </c>
      <c r="P363" s="122">
        <f>AJ363</f>
        <v>68.181818181818173</v>
      </c>
      <c r="Q363" s="122">
        <f>N363*P363/1000</f>
        <v>0</v>
      </c>
      <c r="R363" s="122">
        <f>P363*K363/1000</f>
        <v>18.409090909090907</v>
      </c>
      <c r="S363" s="122"/>
      <c r="T363" s="122">
        <f>$AJ363*1000*$AN363*0.01*$N363*0.001</f>
        <v>0</v>
      </c>
      <c r="U363" s="122">
        <f>$AJ363*$AN363*0.01*$K363*0.001</f>
        <v>18.40909090909091</v>
      </c>
      <c r="V363" s="123"/>
      <c r="W363" s="122"/>
      <c r="X363" s="122"/>
      <c r="Y363" s="122"/>
      <c r="Z363" s="122"/>
      <c r="AG363" s="124">
        <v>2.2000000000000002</v>
      </c>
      <c r="AH363" s="125">
        <v>150</v>
      </c>
      <c r="AI363" s="125"/>
      <c r="AJ363" s="125">
        <f t="shared" si="11"/>
        <v>68.181818181818173</v>
      </c>
      <c r="AK363" s="1" t="s">
        <v>3</v>
      </c>
      <c r="AL363" s="122"/>
      <c r="AM363" s="122"/>
      <c r="AN363" s="122">
        <v>100</v>
      </c>
      <c r="AO363" s="122">
        <v>18.8</v>
      </c>
      <c r="AP363" s="122">
        <v>0</v>
      </c>
      <c r="AQ363" s="122">
        <v>0</v>
      </c>
      <c r="AR363" s="122">
        <v>0</v>
      </c>
    </row>
    <row r="364" spans="1:44">
      <c r="A364" s="75">
        <v>363</v>
      </c>
      <c r="B364" s="107">
        <v>2014</v>
      </c>
      <c r="C364" s="117" t="s">
        <v>138</v>
      </c>
      <c r="D364" s="9" t="s">
        <v>108</v>
      </c>
      <c r="E364" s="9" t="s">
        <v>25</v>
      </c>
      <c r="F364" s="9" t="s">
        <v>29</v>
      </c>
      <c r="G364" s="9" t="s">
        <v>44</v>
      </c>
      <c r="H364" s="17">
        <v>41771</v>
      </c>
      <c r="I364" s="17">
        <v>41793</v>
      </c>
      <c r="J364" s="20">
        <v>2</v>
      </c>
      <c r="K364" s="122"/>
      <c r="L364" s="122"/>
      <c r="M364" s="122"/>
      <c r="N364" s="122"/>
      <c r="O364" s="122"/>
      <c r="P364" s="122"/>
      <c r="Q364" s="122"/>
      <c r="R364" s="122"/>
      <c r="S364" s="122">
        <f>AJ364*AM364*AL364</f>
        <v>1390.909090909091</v>
      </c>
      <c r="T364" s="122">
        <f>$S364*0.4089</f>
        <v>568.74272727272728</v>
      </c>
      <c r="U364" s="122">
        <f>$S364*X364</f>
        <v>16.287590814593123</v>
      </c>
      <c r="V364" s="123"/>
      <c r="W364" s="122">
        <v>0.43014392731574203</v>
      </c>
      <c r="X364" s="122">
        <v>1.1710032611798976E-2</v>
      </c>
      <c r="Y364" s="122"/>
      <c r="Z364" s="122"/>
      <c r="AG364" s="124">
        <v>2.2000000000000002</v>
      </c>
      <c r="AH364" s="122">
        <f>(17*5+10*17)/(5+17)</f>
        <v>11.590909090909092</v>
      </c>
      <c r="AI364" s="122"/>
      <c r="AJ364" s="122">
        <f t="shared" si="11"/>
        <v>5.2685950413223139</v>
      </c>
      <c r="AK364" s="1" t="s">
        <v>66</v>
      </c>
      <c r="AL364" s="122">
        <v>22</v>
      </c>
      <c r="AM364" s="122">
        <v>12</v>
      </c>
      <c r="AN364" s="122"/>
      <c r="AO364" s="122"/>
      <c r="AP364" s="122"/>
      <c r="AQ364" s="122"/>
      <c r="AR364" s="122"/>
    </row>
    <row r="365" spans="1:44">
      <c r="A365" s="75">
        <v>364</v>
      </c>
      <c r="B365" s="107">
        <v>2014</v>
      </c>
      <c r="C365" s="117" t="s">
        <v>138</v>
      </c>
      <c r="D365" s="9" t="s">
        <v>108</v>
      </c>
      <c r="E365" s="9" t="s">
        <v>17</v>
      </c>
      <c r="F365" s="9" t="s">
        <v>34</v>
      </c>
      <c r="G365" s="33" t="s">
        <v>21</v>
      </c>
      <c r="H365" s="17">
        <v>41795</v>
      </c>
      <c r="I365" s="17"/>
      <c r="J365" s="18"/>
      <c r="K365" s="122">
        <v>270</v>
      </c>
      <c r="L365" s="122">
        <v>135</v>
      </c>
      <c r="M365" s="122">
        <v>135</v>
      </c>
      <c r="N365" s="122">
        <v>0</v>
      </c>
      <c r="O365" s="122">
        <v>0</v>
      </c>
      <c r="P365" s="122">
        <f>AJ365</f>
        <v>68.181818181818173</v>
      </c>
      <c r="Q365" s="122">
        <f>N365*P365/1000</f>
        <v>0</v>
      </c>
      <c r="R365" s="122">
        <f>P365*K365/1000</f>
        <v>18.409090909090907</v>
      </c>
      <c r="S365" s="122"/>
      <c r="T365" s="122">
        <f>$AJ365*1000*$AN365*0.01*$N365*0.001</f>
        <v>0</v>
      </c>
      <c r="U365" s="122">
        <f>$AJ365*$AN365*0.01*$K365*0.001</f>
        <v>18.40909090909091</v>
      </c>
      <c r="V365" s="123"/>
      <c r="W365" s="122"/>
      <c r="X365" s="122"/>
      <c r="Y365" s="122"/>
      <c r="Z365" s="122"/>
      <c r="AG365" s="124">
        <v>2.2000000000000002</v>
      </c>
      <c r="AH365" s="125">
        <v>150</v>
      </c>
      <c r="AI365" s="125"/>
      <c r="AJ365" s="125">
        <f t="shared" si="11"/>
        <v>68.181818181818173</v>
      </c>
      <c r="AK365" s="1" t="s">
        <v>3</v>
      </c>
      <c r="AL365" s="122"/>
      <c r="AM365" s="122"/>
      <c r="AN365" s="122">
        <v>100</v>
      </c>
      <c r="AO365" s="122">
        <v>18.8</v>
      </c>
      <c r="AP365" s="122">
        <v>0</v>
      </c>
      <c r="AQ365" s="122">
        <v>0</v>
      </c>
      <c r="AR365" s="122">
        <v>0</v>
      </c>
    </row>
    <row r="366" spans="1:44">
      <c r="A366" s="75">
        <v>365</v>
      </c>
      <c r="B366" s="107">
        <v>2014</v>
      </c>
      <c r="C366" s="117" t="s">
        <v>138</v>
      </c>
      <c r="D366" s="9" t="s">
        <v>108</v>
      </c>
      <c r="E366" s="9" t="s">
        <v>25</v>
      </c>
      <c r="F366" s="9" t="s">
        <v>35</v>
      </c>
      <c r="G366" s="9" t="s">
        <v>36</v>
      </c>
      <c r="H366" s="17">
        <v>41885</v>
      </c>
      <c r="I366" s="17"/>
      <c r="J366" s="21">
        <v>3</v>
      </c>
      <c r="K366" s="122"/>
      <c r="L366" s="122"/>
      <c r="M366" s="122"/>
      <c r="N366" s="122"/>
      <c r="O366" s="122"/>
      <c r="P366" s="122"/>
      <c r="Q366" s="122"/>
      <c r="R366" s="122"/>
      <c r="S366" s="122">
        <f>AJ366*AN366</f>
        <v>2825.4545454545455</v>
      </c>
      <c r="T366" s="122">
        <f>$S366*W366</f>
        <v>1233.5917367653472</v>
      </c>
      <c r="U366" s="122">
        <f>$S366*X366</f>
        <v>41.055887392993526</v>
      </c>
      <c r="V366" s="122">
        <v>5303</v>
      </c>
      <c r="W366" s="122">
        <v>0.4365993920340675</v>
      </c>
      <c r="X366" s="122">
        <v>1.4530719476284709E-2</v>
      </c>
      <c r="Y366" s="122">
        <f>$V366*W366</f>
        <v>2315.2865759566598</v>
      </c>
      <c r="Z366" s="122">
        <f>$V366*X366</f>
        <v>77.056405382737807</v>
      </c>
      <c r="AG366" s="124">
        <v>2.2000000000000002</v>
      </c>
      <c r="AH366" s="122">
        <v>168</v>
      </c>
      <c r="AI366" s="122"/>
      <c r="AJ366" s="122">
        <f t="shared" si="11"/>
        <v>76.36363636363636</v>
      </c>
      <c r="AK366" s="1" t="s">
        <v>83</v>
      </c>
      <c r="AL366" s="122"/>
      <c r="AM366" s="122">
        <v>1.5</v>
      </c>
      <c r="AN366" s="122">
        <v>37</v>
      </c>
      <c r="AO366" s="122"/>
      <c r="AP366" s="122"/>
      <c r="AQ366" s="122"/>
      <c r="AR366" s="122"/>
    </row>
    <row r="367" spans="1:44">
      <c r="A367" s="75">
        <v>366</v>
      </c>
      <c r="B367" s="107">
        <v>2014</v>
      </c>
      <c r="C367" s="117" t="s">
        <v>138</v>
      </c>
      <c r="D367" s="9" t="s">
        <v>108</v>
      </c>
      <c r="E367" s="9" t="s">
        <v>17</v>
      </c>
      <c r="F367" s="9" t="s">
        <v>37</v>
      </c>
      <c r="G367" s="9" t="s">
        <v>48</v>
      </c>
      <c r="H367" s="17">
        <v>41891</v>
      </c>
      <c r="I367" s="17"/>
      <c r="J367" s="92"/>
      <c r="K367" s="122">
        <v>79.8</v>
      </c>
      <c r="L367" s="122">
        <v>44.9</v>
      </c>
      <c r="M367" s="125" t="s">
        <v>62</v>
      </c>
      <c r="N367" s="122">
        <v>371.3</v>
      </c>
      <c r="O367" s="122">
        <v>4.6500000000000004</v>
      </c>
      <c r="P367" s="122">
        <f>AJ367*1000*AN367/100</f>
        <v>225.45454545454544</v>
      </c>
      <c r="Q367" s="122">
        <f>N367*P367/1000</f>
        <v>83.711272727272714</v>
      </c>
      <c r="R367" s="122">
        <f>K367*P367/1000</f>
        <v>17.991272727272726</v>
      </c>
      <c r="S367" s="122"/>
      <c r="T367" s="122">
        <f>$AJ367*1000*$AN367*0.01*$N367*0.001</f>
        <v>83.711272727272728</v>
      </c>
      <c r="U367" s="122">
        <f>$AJ367*1000*$AN367*0.01*$K367*0.001</f>
        <v>17.991272727272726</v>
      </c>
      <c r="V367" s="123"/>
      <c r="W367" s="122"/>
      <c r="X367" s="122"/>
      <c r="Y367" s="122"/>
      <c r="Z367" s="122"/>
      <c r="AG367" s="124">
        <v>2.2000000000000002</v>
      </c>
      <c r="AH367" s="125">
        <v>62</v>
      </c>
      <c r="AI367" s="125"/>
      <c r="AJ367" s="125">
        <f t="shared" si="11"/>
        <v>28.18181818181818</v>
      </c>
      <c r="AK367" s="1" t="s">
        <v>5</v>
      </c>
      <c r="AL367" s="122"/>
      <c r="AM367" s="122"/>
      <c r="AN367" s="122">
        <v>0.8</v>
      </c>
      <c r="AO367" s="122">
        <v>56.7</v>
      </c>
      <c r="AP367" s="122">
        <v>33.799999999999997</v>
      </c>
      <c r="AQ367" s="122">
        <v>78.900000000000006</v>
      </c>
      <c r="AR367" s="122">
        <v>7</v>
      </c>
    </row>
    <row r="368" spans="1:44">
      <c r="A368" s="75">
        <v>367</v>
      </c>
      <c r="B368" s="107">
        <v>2014</v>
      </c>
      <c r="C368" s="117" t="s">
        <v>138</v>
      </c>
      <c r="D368" s="9" t="s">
        <v>108</v>
      </c>
      <c r="E368" s="9" t="s">
        <v>25</v>
      </c>
      <c r="F368" s="9" t="s">
        <v>35</v>
      </c>
      <c r="G368" s="9" t="s">
        <v>36</v>
      </c>
      <c r="H368" s="17">
        <v>41931</v>
      </c>
      <c r="I368" s="17"/>
      <c r="J368" s="21">
        <v>4</v>
      </c>
      <c r="K368" s="122"/>
      <c r="L368" s="122"/>
      <c r="M368" s="122"/>
      <c r="N368" s="122"/>
      <c r="O368" s="122"/>
      <c r="P368" s="122"/>
      <c r="Q368" s="122"/>
      <c r="R368" s="122"/>
      <c r="S368" s="122">
        <f>AJ368*AN368</f>
        <v>1544.5818181818181</v>
      </c>
      <c r="T368" s="122">
        <f>$S368*W368</f>
        <v>662.61033187958685</v>
      </c>
      <c r="U368" s="122">
        <f>$S368*X368</f>
        <v>36.872745219983912</v>
      </c>
      <c r="V368" s="122">
        <v>1985</v>
      </c>
      <c r="W368" s="122">
        <v>0.42899011504587625</v>
      </c>
      <c r="X368" s="122">
        <v>2.3872315979601599E-2</v>
      </c>
      <c r="Y368" s="122">
        <f>$V368*W368</f>
        <v>851.54537836606437</v>
      </c>
      <c r="Z368" s="122">
        <f>$V368*X368</f>
        <v>47.386547219509175</v>
      </c>
      <c r="AG368" s="124">
        <v>2.2000000000000002</v>
      </c>
      <c r="AH368" s="122">
        <v>91.84</v>
      </c>
      <c r="AI368" s="122"/>
      <c r="AJ368" s="122">
        <f t="shared" si="11"/>
        <v>41.745454545454542</v>
      </c>
      <c r="AK368" s="1" t="s">
        <v>83</v>
      </c>
      <c r="AL368" s="122"/>
      <c r="AM368" s="122">
        <v>1.5</v>
      </c>
      <c r="AN368" s="122">
        <v>37</v>
      </c>
      <c r="AO368" s="122"/>
      <c r="AP368" s="122"/>
      <c r="AQ368" s="122"/>
      <c r="AR368" s="122"/>
    </row>
    <row r="369" spans="1:44">
      <c r="A369" s="75">
        <v>368</v>
      </c>
      <c r="B369" s="107">
        <v>2014</v>
      </c>
      <c r="C369" s="117" t="s">
        <v>138</v>
      </c>
      <c r="D369" s="9" t="s">
        <v>108</v>
      </c>
      <c r="E369" s="9" t="s">
        <v>25</v>
      </c>
      <c r="F369" s="9" t="s">
        <v>29</v>
      </c>
      <c r="G369" s="9" t="s">
        <v>47</v>
      </c>
      <c r="H369" s="17">
        <v>41997</v>
      </c>
      <c r="I369" s="17">
        <v>42011</v>
      </c>
      <c r="J369" s="20">
        <v>5</v>
      </c>
      <c r="K369" s="122"/>
      <c r="L369" s="122"/>
      <c r="M369" s="122"/>
      <c r="N369" s="122"/>
      <c r="O369" s="122"/>
      <c r="P369" s="122"/>
      <c r="Q369" s="122"/>
      <c r="R369" s="122"/>
      <c r="S369" s="122">
        <f>AJ369*AM369*AL369</f>
        <v>400.90909090909088</v>
      </c>
      <c r="T369" s="122">
        <f>$S369*0.4089</f>
        <v>163.93172727272724</v>
      </c>
      <c r="U369" s="122">
        <f>$S369*0.0263</f>
        <v>10.543909090909091</v>
      </c>
      <c r="V369" s="123"/>
      <c r="W369" s="122"/>
      <c r="X369" s="122"/>
      <c r="Y369" s="122"/>
      <c r="Z369" s="122"/>
      <c r="AG369" s="124">
        <v>2.2000000000000002</v>
      </c>
      <c r="AH369" s="122">
        <v>42</v>
      </c>
      <c r="AI369" s="122"/>
      <c r="AJ369" s="122">
        <f t="shared" si="11"/>
        <v>19.09090909090909</v>
      </c>
      <c r="AK369" s="1" t="s">
        <v>66</v>
      </c>
      <c r="AL369" s="122">
        <v>14</v>
      </c>
      <c r="AM369" s="122">
        <v>1.5</v>
      </c>
      <c r="AN369" s="122"/>
      <c r="AO369" s="122"/>
      <c r="AP369" s="122"/>
      <c r="AQ369" s="122"/>
      <c r="AR369" s="122"/>
    </row>
    <row r="370" spans="1:44">
      <c r="A370" s="75">
        <v>369</v>
      </c>
      <c r="B370" s="107">
        <v>2014</v>
      </c>
      <c r="C370" s="118" t="s">
        <v>139</v>
      </c>
      <c r="D370" s="9" t="s">
        <v>108</v>
      </c>
      <c r="E370" s="9" t="s">
        <v>25</v>
      </c>
      <c r="F370" s="9" t="s">
        <v>29</v>
      </c>
      <c r="G370" s="9" t="s">
        <v>47</v>
      </c>
      <c r="H370" s="17">
        <v>41685</v>
      </c>
      <c r="I370" s="17">
        <v>41698</v>
      </c>
      <c r="J370" s="18"/>
      <c r="K370" s="122"/>
      <c r="L370" s="122"/>
      <c r="M370" s="122"/>
      <c r="N370" s="122"/>
      <c r="O370" s="122"/>
      <c r="P370" s="122"/>
      <c r="Q370" s="122"/>
      <c r="R370" s="122"/>
      <c r="S370" s="122">
        <f>AJ370*AM370*AL370</f>
        <v>332.22222222222217</v>
      </c>
      <c r="T370" s="122">
        <f>$S370*0.4089</f>
        <v>135.84566666666663</v>
      </c>
      <c r="U370" s="122">
        <f>$S370*0.0263</f>
        <v>8.7374444444444439</v>
      </c>
      <c r="V370" s="122"/>
      <c r="W370" s="122"/>
      <c r="X370" s="122"/>
      <c r="Y370" s="122"/>
      <c r="Z370" s="122"/>
      <c r="AG370" s="124">
        <v>2.7</v>
      </c>
      <c r="AH370" s="122">
        <v>46</v>
      </c>
      <c r="AI370" s="122"/>
      <c r="AJ370" s="122">
        <f t="shared" si="11"/>
        <v>17.037037037037035</v>
      </c>
      <c r="AK370" s="1" t="s">
        <v>66</v>
      </c>
      <c r="AL370" s="122">
        <v>13</v>
      </c>
      <c r="AM370" s="122">
        <v>1.5</v>
      </c>
      <c r="AN370" s="122"/>
      <c r="AO370" s="122"/>
      <c r="AP370" s="122"/>
      <c r="AQ370" s="122"/>
      <c r="AR370" s="122"/>
    </row>
    <row r="371" spans="1:44">
      <c r="A371" s="75">
        <v>370</v>
      </c>
      <c r="B371" s="107">
        <v>2014</v>
      </c>
      <c r="C371" s="118" t="s">
        <v>139</v>
      </c>
      <c r="D371" s="9" t="s">
        <v>108</v>
      </c>
      <c r="E371" s="9" t="s">
        <v>17</v>
      </c>
      <c r="F371" s="9" t="s">
        <v>37</v>
      </c>
      <c r="G371" s="9" t="s">
        <v>48</v>
      </c>
      <c r="H371" s="17">
        <v>41710</v>
      </c>
      <c r="I371" s="17"/>
      <c r="J371" s="18"/>
      <c r="K371" s="122">
        <v>71.599999999999994</v>
      </c>
      <c r="L371" s="122">
        <v>44.5</v>
      </c>
      <c r="M371" s="125" t="s">
        <v>62</v>
      </c>
      <c r="N371" s="122">
        <v>367.9</v>
      </c>
      <c r="O371" s="122">
        <v>5.14</v>
      </c>
      <c r="P371" s="122">
        <f>AJ371*1000*AN371/100</f>
        <v>985.18518518518511</v>
      </c>
      <c r="Q371" s="122">
        <f>N371*P371/1000</f>
        <v>362.44962962962961</v>
      </c>
      <c r="R371" s="122">
        <f>K371*P371/1000</f>
        <v>70.539259259259239</v>
      </c>
      <c r="S371" s="122"/>
      <c r="T371" s="122">
        <f>$AJ371*1000*$AN371*0.01*$N371*0.001</f>
        <v>362.44962962962961</v>
      </c>
      <c r="U371" s="122">
        <f>$AJ371*1000*$AN371*0.01*$K371*0.001</f>
        <v>70.539259259259239</v>
      </c>
      <c r="V371" s="122"/>
      <c r="W371" s="122"/>
      <c r="X371" s="122"/>
      <c r="Y371" s="122"/>
      <c r="Z371" s="122"/>
      <c r="AG371" s="124">
        <v>2.7</v>
      </c>
      <c r="AH371" s="122">
        <v>76</v>
      </c>
      <c r="AI371" s="122"/>
      <c r="AJ371" s="124">
        <f t="shared" si="11"/>
        <v>28.148148148148145</v>
      </c>
      <c r="AK371" s="1" t="s">
        <v>5</v>
      </c>
      <c r="AL371" s="122"/>
      <c r="AM371" s="122"/>
      <c r="AN371" s="122">
        <v>3.5</v>
      </c>
      <c r="AO371" s="122">
        <v>56.648147583007813</v>
      </c>
      <c r="AP371" s="122">
        <v>33.777778625488281</v>
      </c>
      <c r="AQ371" s="122">
        <v>78.814811706542969</v>
      </c>
      <c r="AR371" s="122">
        <v>7.0370368957519531</v>
      </c>
    </row>
    <row r="372" spans="1:44">
      <c r="A372" s="75">
        <v>371</v>
      </c>
      <c r="B372" s="107">
        <v>2014</v>
      </c>
      <c r="C372" s="118" t="s">
        <v>139</v>
      </c>
      <c r="D372" s="9" t="s">
        <v>108</v>
      </c>
      <c r="E372" s="9" t="s">
        <v>25</v>
      </c>
      <c r="F372" s="9" t="s">
        <v>35</v>
      </c>
      <c r="G372" s="9" t="s">
        <v>45</v>
      </c>
      <c r="H372" s="17">
        <v>41776</v>
      </c>
      <c r="I372" s="17"/>
      <c r="J372" s="18">
        <v>1</v>
      </c>
      <c r="K372" s="122"/>
      <c r="L372" s="122"/>
      <c r="M372" s="122"/>
      <c r="N372" s="122"/>
      <c r="O372" s="122"/>
      <c r="P372" s="122"/>
      <c r="Q372" s="122"/>
      <c r="R372" s="122"/>
      <c r="S372" s="122">
        <f>AJ372*AN372</f>
        <v>7166.6666666666661</v>
      </c>
      <c r="T372" s="122">
        <f>$S372*W372</f>
        <v>3117.8005853902146</v>
      </c>
      <c r="U372" s="122">
        <f>$S372*X372</f>
        <v>91.295528498406725</v>
      </c>
      <c r="V372" s="126">
        <v>7115</v>
      </c>
      <c r="W372" s="122">
        <v>0.43504194214747183</v>
      </c>
      <c r="X372" s="122">
        <v>1.2738910953266055E-2</v>
      </c>
      <c r="Y372" s="126">
        <f>$V372*W372</f>
        <v>3095.323418379262</v>
      </c>
      <c r="Z372" s="126">
        <f>$V372*X372</f>
        <v>90.637351432487989</v>
      </c>
      <c r="AG372" s="124">
        <v>2.7</v>
      </c>
      <c r="AH372" s="122">
        <v>225</v>
      </c>
      <c r="AI372" s="122"/>
      <c r="AJ372" s="122">
        <f t="shared" si="11"/>
        <v>83.333333333333329</v>
      </c>
      <c r="AK372" s="1" t="s">
        <v>83</v>
      </c>
      <c r="AL372" s="122"/>
      <c r="AM372" s="122"/>
      <c r="AN372" s="122">
        <v>86</v>
      </c>
      <c r="AO372" s="122"/>
      <c r="AP372" s="122"/>
      <c r="AQ372" s="122"/>
      <c r="AR372" s="122"/>
    </row>
    <row r="373" spans="1:44">
      <c r="A373" s="75">
        <v>372</v>
      </c>
      <c r="B373" s="107">
        <v>2014</v>
      </c>
      <c r="C373" s="118" t="s">
        <v>139</v>
      </c>
      <c r="D373" s="9" t="s">
        <v>108</v>
      </c>
      <c r="E373" s="9" t="s">
        <v>17</v>
      </c>
      <c r="F373" s="9" t="s">
        <v>37</v>
      </c>
      <c r="G373" s="9" t="s">
        <v>48</v>
      </c>
      <c r="H373" s="17">
        <v>41785</v>
      </c>
      <c r="I373" s="17"/>
      <c r="J373" s="18"/>
      <c r="K373" s="122">
        <v>76.900000000000006</v>
      </c>
      <c r="L373" s="122">
        <v>45.7</v>
      </c>
      <c r="M373" s="1">
        <v>2.93</v>
      </c>
      <c r="N373" s="122">
        <v>394.8</v>
      </c>
      <c r="O373" s="122">
        <v>5.14</v>
      </c>
      <c r="P373" s="122">
        <f>AJ373*1000*AN373/100</f>
        <v>700</v>
      </c>
      <c r="Q373" s="122">
        <f>N373*P373/1000</f>
        <v>276.36</v>
      </c>
      <c r="R373" s="122">
        <f>K373*P373/1000</f>
        <v>53.830000000000005</v>
      </c>
      <c r="S373" s="122"/>
      <c r="T373" s="122">
        <f>$AJ373*1000*$AN373*0.01*$N373*0.001</f>
        <v>276.36</v>
      </c>
      <c r="U373" s="122">
        <f>$AJ373*1000*$AN373*0.01*$K373*0.001</f>
        <v>53.830000000000005</v>
      </c>
      <c r="V373" s="122"/>
      <c r="W373" s="122"/>
      <c r="X373" s="122"/>
      <c r="Y373" s="122"/>
      <c r="Z373" s="122"/>
      <c r="AG373" s="124">
        <v>2.7</v>
      </c>
      <c r="AH373" s="122">
        <v>70</v>
      </c>
      <c r="AI373" s="122"/>
      <c r="AJ373" s="124">
        <f t="shared" si="11"/>
        <v>25.925925925925924</v>
      </c>
      <c r="AK373" s="1" t="s">
        <v>5</v>
      </c>
      <c r="AL373" s="122"/>
      <c r="AM373" s="122"/>
      <c r="AN373" s="122">
        <v>2.7</v>
      </c>
      <c r="AO373" s="122">
        <v>52.175926208496094</v>
      </c>
      <c r="AP373" s="122">
        <v>31.111110687255859</v>
      </c>
      <c r="AQ373" s="122">
        <v>72.59259033203125</v>
      </c>
      <c r="AR373" s="122">
        <v>6.4814815521240234</v>
      </c>
    </row>
    <row r="374" spans="1:44">
      <c r="A374" s="75">
        <v>373</v>
      </c>
      <c r="B374" s="107">
        <v>2014</v>
      </c>
      <c r="C374" s="118" t="s">
        <v>139</v>
      </c>
      <c r="D374" s="9" t="s">
        <v>108</v>
      </c>
      <c r="E374" s="9" t="s">
        <v>25</v>
      </c>
      <c r="F374" s="9" t="s">
        <v>35</v>
      </c>
      <c r="G374" s="33" t="s">
        <v>43</v>
      </c>
      <c r="H374" s="17">
        <v>41809</v>
      </c>
      <c r="I374" s="17"/>
      <c r="J374" s="18">
        <v>2</v>
      </c>
      <c r="K374" s="122"/>
      <c r="L374" s="122"/>
      <c r="M374" s="122"/>
      <c r="N374" s="122"/>
      <c r="O374" s="122"/>
      <c r="P374" s="122"/>
      <c r="Q374" s="122"/>
      <c r="R374" s="122"/>
      <c r="S374" s="122">
        <f>AJ374*AN374</f>
        <v>2722.2222222222222</v>
      </c>
      <c r="T374" s="122">
        <f>$S374*W374</f>
        <v>1173.7022345624239</v>
      </c>
      <c r="U374" s="122">
        <f>$S374*X374</f>
        <v>56.230414039770487</v>
      </c>
      <c r="V374" s="126">
        <v>1580</v>
      </c>
      <c r="W374" s="122">
        <v>0.43115592290048221</v>
      </c>
      <c r="X374" s="122">
        <v>2.0656070463589159E-2</v>
      </c>
      <c r="Y374" s="126">
        <f>$V374*W374</f>
        <v>681.22635818276194</v>
      </c>
      <c r="Z374" s="126">
        <f>$V374*X374</f>
        <v>32.636591332470871</v>
      </c>
      <c r="AG374" s="124">
        <v>2.7</v>
      </c>
      <c r="AH374" s="122">
        <v>105</v>
      </c>
      <c r="AI374" s="122"/>
      <c r="AJ374" s="122">
        <f t="shared" si="11"/>
        <v>38.888888888888886</v>
      </c>
      <c r="AK374" s="1" t="s">
        <v>83</v>
      </c>
      <c r="AL374" s="122"/>
      <c r="AM374" s="122"/>
      <c r="AN374" s="122">
        <v>70</v>
      </c>
      <c r="AO374" s="122"/>
      <c r="AP374" s="122"/>
      <c r="AQ374" s="122"/>
      <c r="AR374" s="122"/>
    </row>
    <row r="375" spans="1:44">
      <c r="A375" s="75">
        <v>374</v>
      </c>
      <c r="B375" s="107">
        <v>2014</v>
      </c>
      <c r="C375" s="118" t="s">
        <v>139</v>
      </c>
      <c r="D375" s="9" t="s">
        <v>108</v>
      </c>
      <c r="E375" s="9" t="s">
        <v>17</v>
      </c>
      <c r="F375" s="9" t="s">
        <v>37</v>
      </c>
      <c r="G375" s="9" t="s">
        <v>48</v>
      </c>
      <c r="H375" s="17">
        <v>41815</v>
      </c>
      <c r="I375" s="17"/>
      <c r="J375" s="18"/>
      <c r="K375" s="122">
        <v>93.7</v>
      </c>
      <c r="L375" s="122">
        <v>55.6</v>
      </c>
      <c r="M375" s="125" t="s">
        <v>62</v>
      </c>
      <c r="N375" s="122">
        <v>377.3</v>
      </c>
      <c r="O375" s="122">
        <v>4.03</v>
      </c>
      <c r="P375" s="122">
        <f>AJ375*1000*AN375/100</f>
        <v>331.8518518518519</v>
      </c>
      <c r="Q375" s="122">
        <f>N375*P375/1000</f>
        <v>125.20770370370373</v>
      </c>
      <c r="R375" s="122">
        <f>K375*P375/1000</f>
        <v>31.094518518518527</v>
      </c>
      <c r="S375" s="122"/>
      <c r="T375" s="122">
        <f>$AJ375*1000*$AN375*0.01*$N375*0.001</f>
        <v>125.20770370370373</v>
      </c>
      <c r="U375" s="122">
        <f>$AJ375*1000*$AN375*0.01*$K375*0.001</f>
        <v>31.094518518518527</v>
      </c>
      <c r="V375" s="122"/>
      <c r="W375" s="122"/>
      <c r="X375" s="122"/>
      <c r="Y375" s="122"/>
      <c r="Z375" s="122"/>
      <c r="AG375" s="124">
        <v>2.7</v>
      </c>
      <c r="AH375" s="122">
        <v>56</v>
      </c>
      <c r="AI375" s="122"/>
      <c r="AJ375" s="124">
        <f t="shared" si="11"/>
        <v>20.74074074074074</v>
      </c>
      <c r="AK375" s="1" t="s">
        <v>5</v>
      </c>
      <c r="AL375" s="122"/>
      <c r="AM375" s="122"/>
      <c r="AN375" s="122">
        <v>1.6</v>
      </c>
      <c r="AO375" s="122">
        <v>41.740741729736328</v>
      </c>
      <c r="AP375" s="122">
        <v>24.888889312744141</v>
      </c>
      <c r="AQ375" s="122">
        <v>58.074073791503906</v>
      </c>
      <c r="AR375" s="122">
        <v>5.1851849555969238</v>
      </c>
    </row>
    <row r="376" spans="1:44">
      <c r="A376" s="75">
        <v>375</v>
      </c>
      <c r="B376" s="107">
        <v>2014</v>
      </c>
      <c r="C376" s="118" t="s">
        <v>139</v>
      </c>
      <c r="D376" s="9" t="s">
        <v>108</v>
      </c>
      <c r="E376" s="9" t="s">
        <v>25</v>
      </c>
      <c r="F376" s="9" t="s">
        <v>35</v>
      </c>
      <c r="G376" s="9" t="s">
        <v>36</v>
      </c>
      <c r="H376" s="17">
        <v>41885</v>
      </c>
      <c r="I376" s="17"/>
      <c r="J376" s="18">
        <v>3</v>
      </c>
      <c r="K376" s="122"/>
      <c r="L376" s="122"/>
      <c r="M376" s="122"/>
      <c r="N376" s="122"/>
      <c r="O376" s="122"/>
      <c r="P376" s="122"/>
      <c r="Q376" s="122"/>
      <c r="R376" s="122"/>
      <c r="S376" s="122">
        <f>AJ376*AN376</f>
        <v>3083.333333333333</v>
      </c>
      <c r="T376" s="122">
        <f>$S376*W376</f>
        <v>1342.8728321084118</v>
      </c>
      <c r="U376" s="122">
        <f>$S376*X376</f>
        <v>54.822515400770072</v>
      </c>
      <c r="V376" s="126">
        <v>3857</v>
      </c>
      <c r="W376" s="122">
        <v>0.43552632392705248</v>
      </c>
      <c r="X376" s="122">
        <v>1.7780275265114619E-2</v>
      </c>
      <c r="Y376" s="126">
        <f>$V376*W376</f>
        <v>1679.8250313866415</v>
      </c>
      <c r="Z376" s="126">
        <f>$V376*X376</f>
        <v>68.578521697547089</v>
      </c>
      <c r="AG376" s="124">
        <v>2.7</v>
      </c>
      <c r="AH376" s="122">
        <v>225</v>
      </c>
      <c r="AI376" s="122"/>
      <c r="AJ376" s="122">
        <f t="shared" si="11"/>
        <v>83.333333333333329</v>
      </c>
      <c r="AK376" s="1" t="s">
        <v>83</v>
      </c>
      <c r="AL376" s="122"/>
      <c r="AM376" s="122"/>
      <c r="AN376" s="122">
        <v>37</v>
      </c>
      <c r="AO376" s="122"/>
      <c r="AP376" s="122"/>
      <c r="AQ376" s="122"/>
      <c r="AR376" s="122"/>
    </row>
    <row r="377" spans="1:44">
      <c r="A377" s="75">
        <v>376</v>
      </c>
      <c r="B377" s="107">
        <v>2014</v>
      </c>
      <c r="C377" s="118" t="s">
        <v>139</v>
      </c>
      <c r="D377" s="9" t="s">
        <v>108</v>
      </c>
      <c r="E377" s="9" t="s">
        <v>17</v>
      </c>
      <c r="F377" s="9" t="s">
        <v>37</v>
      </c>
      <c r="G377" s="34" t="s">
        <v>48</v>
      </c>
      <c r="H377" s="17">
        <v>41891</v>
      </c>
      <c r="I377" s="17"/>
      <c r="J377" s="18"/>
      <c r="K377" s="122">
        <v>49.6</v>
      </c>
      <c r="L377" s="122">
        <v>23.5</v>
      </c>
      <c r="M377" s="1">
        <v>1.42</v>
      </c>
      <c r="N377" s="122">
        <v>415.6</v>
      </c>
      <c r="O377" s="122">
        <v>8.3800000000000008</v>
      </c>
      <c r="P377" s="122">
        <f>AJ377*1000*AN377/100</f>
        <v>560</v>
      </c>
      <c r="Q377" s="122">
        <f>N377*P377/1000</f>
        <v>232.73599999999999</v>
      </c>
      <c r="R377" s="122">
        <f>K377*P377/1000</f>
        <v>27.776</v>
      </c>
      <c r="S377" s="122"/>
      <c r="T377" s="122">
        <f>$AJ377*1000*$AN377*0.01*$N377*0.001</f>
        <v>232.73600000000002</v>
      </c>
      <c r="U377" s="122">
        <f>$AJ377*1000*$AN377*0.01*$K377*0.001</f>
        <v>27.776</v>
      </c>
      <c r="V377" s="122"/>
      <c r="W377" s="122"/>
      <c r="X377" s="122"/>
      <c r="Y377" s="122"/>
      <c r="Z377" s="122"/>
      <c r="AG377" s="124">
        <v>2.7</v>
      </c>
      <c r="AH377" s="122">
        <v>84</v>
      </c>
      <c r="AI377" s="122"/>
      <c r="AJ377" s="124">
        <f t="shared" si="11"/>
        <v>31.111111111111111</v>
      </c>
      <c r="AK377" s="1" t="s">
        <v>5</v>
      </c>
      <c r="AL377" s="122"/>
      <c r="AM377" s="122"/>
      <c r="AN377" s="122">
        <v>1.8</v>
      </c>
      <c r="AO377" s="122">
        <v>62.611110687255859</v>
      </c>
      <c r="AP377" s="122">
        <v>37.333332061767578</v>
      </c>
      <c r="AQ377" s="122">
        <v>87.111106872558594</v>
      </c>
      <c r="AR377" s="122">
        <v>7.7777776718139648</v>
      </c>
    </row>
    <row r="378" spans="1:44">
      <c r="A378" s="75">
        <v>377</v>
      </c>
      <c r="B378" s="107">
        <v>2014</v>
      </c>
      <c r="C378" s="118" t="s">
        <v>139</v>
      </c>
      <c r="D378" s="9" t="s">
        <v>108</v>
      </c>
      <c r="E378" s="9" t="s">
        <v>25</v>
      </c>
      <c r="F378" s="9" t="s">
        <v>35</v>
      </c>
      <c r="G378" s="9" t="s">
        <v>36</v>
      </c>
      <c r="H378" s="17">
        <v>41931</v>
      </c>
      <c r="I378" s="17"/>
      <c r="J378" s="18">
        <v>4</v>
      </c>
      <c r="K378" s="122"/>
      <c r="L378" s="122"/>
      <c r="M378" s="122"/>
      <c r="N378" s="122"/>
      <c r="O378" s="122"/>
      <c r="P378" s="122"/>
      <c r="Q378" s="122"/>
      <c r="R378" s="122"/>
      <c r="S378" s="122">
        <f>AJ378*AN378</f>
        <v>2852.5629629629625</v>
      </c>
      <c r="T378" s="122">
        <f>$S378*W378</f>
        <v>1237.5541762703972</v>
      </c>
      <c r="U378" s="122">
        <f>$S378*X378</f>
        <v>67.355185471624608</v>
      </c>
      <c r="V378" s="126">
        <v>2275</v>
      </c>
      <c r="W378" s="122">
        <v>0.4338393901689544</v>
      </c>
      <c r="X378" s="122">
        <v>2.3612164339981E-2</v>
      </c>
      <c r="Y378" s="126">
        <f>$V378*W378</f>
        <v>986.98461263437127</v>
      </c>
      <c r="Z378" s="126">
        <f>$V378*X378</f>
        <v>53.717673873456775</v>
      </c>
      <c r="AA378" s="1"/>
      <c r="AB378" s="1"/>
      <c r="AC378" s="1"/>
      <c r="AD378" s="1"/>
      <c r="AE378" s="127"/>
      <c r="AG378" s="124">
        <v>2.7</v>
      </c>
      <c r="AH378" s="122">
        <v>208.16</v>
      </c>
      <c r="AI378" s="122"/>
      <c r="AJ378" s="122">
        <f t="shared" si="11"/>
        <v>77.096296296296288</v>
      </c>
      <c r="AK378" s="1" t="s">
        <v>83</v>
      </c>
      <c r="AL378" s="122"/>
      <c r="AM378" s="122"/>
      <c r="AN378" s="122">
        <v>37</v>
      </c>
      <c r="AO378" s="122"/>
      <c r="AP378" s="122"/>
      <c r="AQ378" s="122"/>
      <c r="AR378" s="122"/>
    </row>
    <row r="379" spans="1:44">
      <c r="A379" s="75">
        <v>378</v>
      </c>
      <c r="B379" s="107">
        <v>2014</v>
      </c>
      <c r="C379" s="118" t="s">
        <v>139</v>
      </c>
      <c r="D379" s="9" t="s">
        <v>108</v>
      </c>
      <c r="E379" s="9" t="s">
        <v>25</v>
      </c>
      <c r="F379" s="9" t="s">
        <v>29</v>
      </c>
      <c r="G379" s="9" t="s">
        <v>47</v>
      </c>
      <c r="H379" s="17">
        <v>41989</v>
      </c>
      <c r="I379" s="17">
        <v>41996</v>
      </c>
      <c r="J379" s="18"/>
      <c r="K379" s="122"/>
      <c r="L379" s="122"/>
      <c r="M379" s="122"/>
      <c r="N379" s="122"/>
      <c r="O379" s="122"/>
      <c r="P379" s="122"/>
      <c r="Q379" s="122"/>
      <c r="R379" s="122"/>
      <c r="S379" s="122">
        <f>AJ379*AM379*AL379</f>
        <v>163.33333333333331</v>
      </c>
      <c r="T379" s="122">
        <f>$S379*0.4089</f>
        <v>66.786999999999992</v>
      </c>
      <c r="U379" s="122">
        <f>$S379*0.0263</f>
        <v>4.2956666666666665</v>
      </c>
      <c r="V379" s="122"/>
      <c r="W379" s="122"/>
      <c r="X379" s="122"/>
      <c r="Y379" s="122"/>
      <c r="Z379" s="122"/>
      <c r="AG379" s="124">
        <v>2.7</v>
      </c>
      <c r="AH379" s="122">
        <v>42</v>
      </c>
      <c r="AI379" s="122"/>
      <c r="AJ379" s="122">
        <f t="shared" si="11"/>
        <v>15.555555555555555</v>
      </c>
      <c r="AK379" s="1" t="s">
        <v>66</v>
      </c>
      <c r="AL379" s="122">
        <v>7</v>
      </c>
      <c r="AM379" s="122">
        <v>1.5</v>
      </c>
      <c r="AN379" s="122"/>
      <c r="AO379" s="122"/>
      <c r="AP379" s="122"/>
      <c r="AQ379" s="122"/>
      <c r="AR379" s="122"/>
    </row>
    <row r="380" spans="1:44" ht="15.95" customHeight="1">
      <c r="A380" s="75">
        <v>379</v>
      </c>
      <c r="B380" s="22">
        <v>2015</v>
      </c>
      <c r="C380" s="117" t="s">
        <v>138</v>
      </c>
      <c r="D380" s="9" t="s">
        <v>108</v>
      </c>
      <c r="E380" s="9" t="s">
        <v>17</v>
      </c>
      <c r="F380" s="9" t="s">
        <v>37</v>
      </c>
      <c r="G380" s="9" t="s">
        <v>48</v>
      </c>
      <c r="H380" s="17">
        <v>42074.548611111109</v>
      </c>
      <c r="I380" s="17">
        <v>42074.614583333336</v>
      </c>
      <c r="J380" s="18"/>
      <c r="K380" s="1">
        <v>82.3</v>
      </c>
      <c r="L380" s="1">
        <v>49.3</v>
      </c>
      <c r="M380" s="1">
        <v>0.33300000000000002</v>
      </c>
      <c r="N380" s="1">
        <v>392</v>
      </c>
      <c r="O380" s="1">
        <v>4.7699999999999996</v>
      </c>
      <c r="P380" s="122">
        <f>AJ380*1000*AN380/100</f>
        <v>474</v>
      </c>
      <c r="Q380" s="122">
        <f>N380*P380/1000</f>
        <v>185.80799999999999</v>
      </c>
      <c r="R380" s="122">
        <f>K380*P380/1000</f>
        <v>39.010199999999998</v>
      </c>
      <c r="S380" s="122"/>
      <c r="T380" s="122">
        <f>$AJ380*1000*$AN380*0.01*$N380*0.001</f>
        <v>185.80799999999999</v>
      </c>
      <c r="U380" s="122">
        <f>AJ380*AN380*K380*0.01</f>
        <v>39.010199999999998</v>
      </c>
      <c r="V380" s="126"/>
      <c r="W380" s="122"/>
      <c r="X380" s="122"/>
      <c r="Y380" s="126"/>
      <c r="Z380" s="126"/>
      <c r="AA380" s="1"/>
      <c r="AB380" s="1"/>
      <c r="AC380" s="1"/>
      <c r="AD380" s="1"/>
      <c r="AE380" s="127"/>
      <c r="AG380" s="124">
        <v>2.2000000000000002</v>
      </c>
      <c r="AH380" s="122">
        <v>47.4</v>
      </c>
      <c r="AI380" s="122"/>
      <c r="AJ380" s="122">
        <f t="shared" si="11"/>
        <v>21.545454545454543</v>
      </c>
      <c r="AK380" s="1" t="s">
        <v>5</v>
      </c>
      <c r="AL380" s="122"/>
      <c r="AM380" s="122"/>
      <c r="AN380" s="1">
        <v>2.2000000000000002</v>
      </c>
      <c r="AO380" s="122"/>
      <c r="AP380" s="1">
        <v>21.7</v>
      </c>
      <c r="AQ380" s="1">
        <v>77.81</v>
      </c>
      <c r="AR380" s="1">
        <v>7.19</v>
      </c>
    </row>
    <row r="381" spans="1:44">
      <c r="A381" s="75">
        <v>380</v>
      </c>
      <c r="B381" s="22">
        <v>2015</v>
      </c>
      <c r="C381" s="117" t="s">
        <v>138</v>
      </c>
      <c r="D381" s="9" t="s">
        <v>108</v>
      </c>
      <c r="E381" s="9" t="s">
        <v>25</v>
      </c>
      <c r="F381" s="9" t="s">
        <v>35</v>
      </c>
      <c r="G381" s="9" t="s">
        <v>36</v>
      </c>
      <c r="H381" s="17">
        <v>42115.458333333336</v>
      </c>
      <c r="I381" s="17">
        <v>42115</v>
      </c>
      <c r="J381" s="18">
        <v>1</v>
      </c>
      <c r="K381" s="122"/>
      <c r="L381" s="122"/>
      <c r="M381" s="122"/>
      <c r="N381" s="122"/>
      <c r="O381" s="122">
        <f>W381/X381</f>
        <v>17.38170633707659</v>
      </c>
      <c r="P381" s="122"/>
      <c r="Q381" s="122"/>
      <c r="R381" s="122"/>
      <c r="S381" s="122">
        <f>AJ381*AN381</f>
        <v>882.81999999999994</v>
      </c>
      <c r="T381" s="122">
        <f>$S381*W381</f>
        <v>395.08146032199994</v>
      </c>
      <c r="U381" s="122">
        <f>$S381*X381</f>
        <v>22.729728178599999</v>
      </c>
      <c r="V381" s="1">
        <v>2341.8000000000002</v>
      </c>
      <c r="W381" s="122">
        <v>0.44752209999999998</v>
      </c>
      <c r="X381" s="122">
        <v>2.5746729999999999E-2</v>
      </c>
      <c r="Y381" s="126">
        <f>$V381*W381</f>
        <v>1048.0072537799999</v>
      </c>
      <c r="Z381" s="1">
        <v>59.995000399387003</v>
      </c>
      <c r="AA381" s="1">
        <v>439.40493852481899</v>
      </c>
      <c r="AB381" s="1">
        <v>267.46994189462401</v>
      </c>
      <c r="AC381" s="1">
        <v>12.701192151018001</v>
      </c>
      <c r="AD381" s="1">
        <f>AA381/SQRT(10)</f>
        <v>138.9520420864695</v>
      </c>
      <c r="AE381" s="1">
        <f>AB381/SQRT(10)</f>
        <v>84.581422201990392</v>
      </c>
      <c r="AF381" s="1">
        <f>AC381/SQRT(10)</f>
        <v>4.0164696196670189</v>
      </c>
      <c r="AG381" s="124">
        <v>2.2000000000000002</v>
      </c>
      <c r="AH381" s="122">
        <f>AJ381*AG381</f>
        <v>52.492000000000004</v>
      </c>
      <c r="AI381" s="122"/>
      <c r="AJ381" s="122">
        <v>23.86</v>
      </c>
      <c r="AK381" s="1" t="s">
        <v>83</v>
      </c>
      <c r="AL381" s="122"/>
      <c r="AM381" s="122"/>
      <c r="AN381" s="122">
        <v>37</v>
      </c>
      <c r="AO381" s="122"/>
      <c r="AP381" s="122"/>
      <c r="AQ381" s="122"/>
      <c r="AR381" s="122"/>
    </row>
    <row r="382" spans="1:44">
      <c r="A382" s="75">
        <v>381</v>
      </c>
      <c r="B382" s="22">
        <v>2015</v>
      </c>
      <c r="C382" s="117" t="s">
        <v>138</v>
      </c>
      <c r="D382" s="9" t="s">
        <v>108</v>
      </c>
      <c r="E382" s="9" t="s">
        <v>17</v>
      </c>
      <c r="F382" s="9" t="s">
        <v>37</v>
      </c>
      <c r="G382" s="34" t="s">
        <v>48</v>
      </c>
      <c r="H382" s="17">
        <v>42123.652777777781</v>
      </c>
      <c r="I382" s="17">
        <v>42123.719444444447</v>
      </c>
      <c r="J382" s="18"/>
      <c r="K382" s="1">
        <v>61.2</v>
      </c>
      <c r="L382" s="1">
        <v>37.1</v>
      </c>
      <c r="M382" s="125" t="s">
        <v>62</v>
      </c>
      <c r="N382" s="1">
        <v>414.5</v>
      </c>
      <c r="O382" s="1">
        <v>6.78</v>
      </c>
      <c r="P382" s="122">
        <f>AJ382*1000*AN382/100</f>
        <v>744.54545454545439</v>
      </c>
      <c r="Q382" s="122">
        <f>N382*P382/1000</f>
        <v>308.61409090909081</v>
      </c>
      <c r="R382" s="122">
        <f>K382*P382/1000</f>
        <v>45.566181818181811</v>
      </c>
      <c r="S382" s="122"/>
      <c r="T382" s="122">
        <f>AJ382*AN382*N382*0.01</f>
        <v>308.61409090909092</v>
      </c>
      <c r="U382" s="122">
        <f>AJ382*AN382*K382*0.01</f>
        <v>45.566181818181825</v>
      </c>
      <c r="V382" s="126"/>
      <c r="W382" s="122"/>
      <c r="X382" s="122"/>
      <c r="Y382" s="126"/>
      <c r="Z382" s="126"/>
      <c r="AA382" s="1"/>
      <c r="AB382" s="1"/>
      <c r="AC382" s="1"/>
      <c r="AD382" s="1"/>
      <c r="AE382" s="1"/>
      <c r="AF382" s="1"/>
      <c r="AG382" s="124">
        <v>2.2000000000000002</v>
      </c>
      <c r="AH382" s="122">
        <v>63</v>
      </c>
      <c r="AI382" s="122"/>
      <c r="AJ382" s="122">
        <f>AH382/AG382</f>
        <v>28.636363636363633</v>
      </c>
      <c r="AK382" s="1" t="s">
        <v>5</v>
      </c>
      <c r="AL382" s="122"/>
      <c r="AM382" s="122"/>
      <c r="AN382" s="1">
        <v>2.6</v>
      </c>
      <c r="AO382" s="122"/>
      <c r="AP382" s="1">
        <v>25.1</v>
      </c>
      <c r="AQ382" s="1">
        <v>67.16</v>
      </c>
      <c r="AR382" s="1">
        <v>6.61</v>
      </c>
    </row>
    <row r="383" spans="1:44">
      <c r="A383" s="75">
        <v>382</v>
      </c>
      <c r="B383" s="22">
        <v>2015</v>
      </c>
      <c r="C383" s="117" t="s">
        <v>138</v>
      </c>
      <c r="D383" s="9" t="s">
        <v>108</v>
      </c>
      <c r="E383" s="9" t="s">
        <v>25</v>
      </c>
      <c r="F383" s="9" t="s">
        <v>35</v>
      </c>
      <c r="G383" s="1" t="s">
        <v>43</v>
      </c>
      <c r="H383" s="17">
        <v>42157.631944444445</v>
      </c>
      <c r="I383" s="17">
        <v>42157.777777777781</v>
      </c>
      <c r="J383" s="18">
        <v>2</v>
      </c>
      <c r="K383" s="122"/>
      <c r="L383" s="122"/>
      <c r="M383" s="122"/>
      <c r="N383" s="122"/>
      <c r="O383" s="122">
        <f>W383/X383</f>
        <v>29.16987335676426</v>
      </c>
      <c r="P383" s="122"/>
      <c r="Q383" s="122"/>
      <c r="R383" s="122"/>
      <c r="S383" s="122">
        <f>AJ383*AN383</f>
        <v>3500</v>
      </c>
      <c r="T383" s="122">
        <f>$S383*W383</f>
        <v>1598.53225</v>
      </c>
      <c r="U383" s="122">
        <f>$S383*X383</f>
        <v>54.800795000000001</v>
      </c>
      <c r="V383" s="1">
        <v>4338.6000000000004</v>
      </c>
      <c r="W383" s="122">
        <v>0.4567235</v>
      </c>
      <c r="X383" s="122">
        <v>1.565737E-2</v>
      </c>
      <c r="Y383" s="126">
        <f>$V383*W383</f>
        <v>1981.5405771000003</v>
      </c>
      <c r="Z383" s="1">
        <v>66.535501110250294</v>
      </c>
      <c r="AA383" s="1">
        <v>838.94713778640403</v>
      </c>
      <c r="AB383" s="1">
        <v>380.18055596705898</v>
      </c>
      <c r="AC383" s="1">
        <v>12.0183382246503</v>
      </c>
      <c r="AD383" s="1">
        <f>AA383/SQRT(10)</f>
        <v>265.29837918841486</v>
      </c>
      <c r="AE383" s="1">
        <f>AB383/SQRT(10)</f>
        <v>120.22364789650248</v>
      </c>
      <c r="AF383" s="1">
        <f>AC383/SQRT(10)</f>
        <v>3.8005322480159345</v>
      </c>
      <c r="AG383" s="124">
        <v>2.2000000000000002</v>
      </c>
      <c r="AH383" s="122">
        <f>AJ383*AG383</f>
        <v>110.00000000000001</v>
      </c>
      <c r="AI383" s="122"/>
      <c r="AJ383" s="122">
        <v>50</v>
      </c>
      <c r="AK383" s="1" t="s">
        <v>83</v>
      </c>
      <c r="AL383" s="122"/>
      <c r="AM383" s="122"/>
      <c r="AN383" s="122">
        <v>70</v>
      </c>
      <c r="AO383" s="122"/>
      <c r="AP383" s="122"/>
      <c r="AQ383" s="122"/>
      <c r="AR383" s="122"/>
    </row>
    <row r="384" spans="1:44">
      <c r="A384" s="75">
        <v>383</v>
      </c>
      <c r="B384" s="22">
        <v>2015</v>
      </c>
      <c r="C384" s="117" t="s">
        <v>138</v>
      </c>
      <c r="D384" s="9" t="s">
        <v>108</v>
      </c>
      <c r="E384" s="9" t="s">
        <v>17</v>
      </c>
      <c r="F384" s="9" t="s">
        <v>37</v>
      </c>
      <c r="G384" s="9" t="s">
        <v>48</v>
      </c>
      <c r="H384" s="17">
        <v>42164.590277777781</v>
      </c>
      <c r="I384" s="17">
        <v>42164.677083333336</v>
      </c>
      <c r="J384" s="18"/>
      <c r="K384" s="1">
        <v>69.400000000000006</v>
      </c>
      <c r="L384" s="1">
        <v>47.8</v>
      </c>
      <c r="M384" s="125" t="s">
        <v>62</v>
      </c>
      <c r="N384" s="1">
        <v>386.2</v>
      </c>
      <c r="O384" s="1">
        <v>5.56</v>
      </c>
      <c r="P384" s="122">
        <f>AJ384*1000*AN384/100</f>
        <v>517.72727272727263</v>
      </c>
      <c r="Q384" s="122">
        <f>N384*P384/1000</f>
        <v>199.94627272727269</v>
      </c>
      <c r="R384" s="122">
        <f>K384*P384/1000</f>
        <v>35.930272727272722</v>
      </c>
      <c r="S384" s="122"/>
      <c r="T384" s="122">
        <f>AJ384*AN384*N384*0.01</f>
        <v>199.94627272727271</v>
      </c>
      <c r="U384" s="122">
        <f>AJ384*AN384*K384*0.01</f>
        <v>35.93027272727273</v>
      </c>
      <c r="V384" s="126"/>
      <c r="W384" s="122"/>
      <c r="X384" s="122"/>
      <c r="Y384" s="126"/>
      <c r="Z384" s="126"/>
      <c r="AA384" s="1"/>
      <c r="AB384" s="1"/>
      <c r="AC384" s="1"/>
      <c r="AD384" s="1"/>
      <c r="AE384" s="1"/>
      <c r="AF384" s="1"/>
      <c r="AG384" s="124">
        <v>2.2000000000000002</v>
      </c>
      <c r="AH384" s="122">
        <v>67</v>
      </c>
      <c r="AI384" s="122"/>
      <c r="AJ384" s="122">
        <f t="shared" ref="AJ384:AJ390" si="12">AH384/AG384</f>
        <v>30.454545454545453</v>
      </c>
      <c r="AK384" s="1" t="s">
        <v>5</v>
      </c>
      <c r="AL384" s="122"/>
      <c r="AM384" s="122"/>
      <c r="AN384" s="1">
        <v>1.7</v>
      </c>
      <c r="AO384" s="122"/>
      <c r="AP384" s="1">
        <v>34.6</v>
      </c>
      <c r="AQ384" s="1">
        <v>87.73</v>
      </c>
      <c r="AR384" s="1">
        <v>9.1199999999999992</v>
      </c>
    </row>
    <row r="385" spans="1:44">
      <c r="A385" s="75">
        <v>384</v>
      </c>
      <c r="B385" s="22">
        <v>2015</v>
      </c>
      <c r="C385" s="117" t="s">
        <v>138</v>
      </c>
      <c r="D385" s="9" t="s">
        <v>108</v>
      </c>
      <c r="E385" s="9" t="s">
        <v>25</v>
      </c>
      <c r="F385" s="9" t="s">
        <v>35</v>
      </c>
      <c r="G385" s="33" t="s">
        <v>43</v>
      </c>
      <c r="H385" s="17">
        <v>42191.576388888891</v>
      </c>
      <c r="I385" s="17">
        <v>42191.708333333336</v>
      </c>
      <c r="J385" s="18">
        <v>3</v>
      </c>
      <c r="K385" s="122"/>
      <c r="L385" s="122"/>
      <c r="M385" s="122"/>
      <c r="N385" s="122"/>
      <c r="O385" s="122">
        <f>W385/X385</f>
        <v>18.073780193730986</v>
      </c>
      <c r="P385" s="122"/>
      <c r="Q385" s="122"/>
      <c r="R385" s="122"/>
      <c r="S385" s="122">
        <f>AJ385*AN385</f>
        <v>2386.363636363636</v>
      </c>
      <c r="T385" s="122">
        <f>$S385*W385</f>
        <v>1074.9537272727271</v>
      </c>
      <c r="U385" s="122">
        <f>$S385*X385</f>
        <v>59.475865909090899</v>
      </c>
      <c r="V385" s="1">
        <v>1260.4000000000001</v>
      </c>
      <c r="W385" s="122">
        <v>0.45045679999999999</v>
      </c>
      <c r="X385" s="122">
        <v>2.4923219999999999E-2</v>
      </c>
      <c r="Y385" s="126">
        <f>$V385*W385</f>
        <v>567.75575072000004</v>
      </c>
      <c r="Z385" s="1">
        <v>29.281698059003499</v>
      </c>
      <c r="AA385" s="1">
        <v>347.09947341424299</v>
      </c>
      <c r="AB385" s="1">
        <v>158.10001822830401</v>
      </c>
      <c r="AC385" s="1">
        <v>8.5496902113924502</v>
      </c>
      <c r="AD385" s="1">
        <f>AA385/SQRT(10)</f>
        <v>109.76249106340688</v>
      </c>
      <c r="AE385" s="1">
        <f>AB385/SQRT(10)</f>
        <v>49.995615571557927</v>
      </c>
      <c r="AF385" s="1">
        <f>AC385/SQRT(10)</f>
        <v>2.7036494356846612</v>
      </c>
      <c r="AG385" s="124">
        <v>2.2000000000000002</v>
      </c>
      <c r="AH385" s="122">
        <v>75</v>
      </c>
      <c r="AI385" s="122"/>
      <c r="AJ385" s="122">
        <f t="shared" si="12"/>
        <v>34.090909090909086</v>
      </c>
      <c r="AK385" s="1" t="s">
        <v>83</v>
      </c>
      <c r="AL385" s="122"/>
      <c r="AM385" s="122"/>
      <c r="AN385" s="122">
        <v>70</v>
      </c>
      <c r="AO385" s="122"/>
      <c r="AP385" s="122"/>
      <c r="AQ385" s="122"/>
      <c r="AR385" s="122"/>
    </row>
    <row r="386" spans="1:44">
      <c r="A386" s="75">
        <v>385</v>
      </c>
      <c r="B386" s="22">
        <v>2015</v>
      </c>
      <c r="C386" s="117" t="s">
        <v>138</v>
      </c>
      <c r="D386" s="9" t="s">
        <v>108</v>
      </c>
      <c r="E386" s="9" t="s">
        <v>17</v>
      </c>
      <c r="F386" s="9" t="s">
        <v>37</v>
      </c>
      <c r="G386" s="9" t="s">
        <v>48</v>
      </c>
      <c r="H386" s="17">
        <v>42194.340277777781</v>
      </c>
      <c r="I386" s="17">
        <v>42194.413194444445</v>
      </c>
      <c r="J386" s="18"/>
      <c r="K386" s="1">
        <v>74.7</v>
      </c>
      <c r="L386" s="1">
        <v>47.7</v>
      </c>
      <c r="M386" s="125" t="s">
        <v>62</v>
      </c>
      <c r="N386" s="1">
        <v>381.2</v>
      </c>
      <c r="O386" s="1">
        <v>5.12</v>
      </c>
      <c r="P386" s="122">
        <f>AJ386*1000*AN386/100</f>
        <v>921.81818181818187</v>
      </c>
      <c r="Q386" s="122">
        <f>N386*P386/1000</f>
        <v>351.39709090909093</v>
      </c>
      <c r="R386" s="122">
        <f>K386*P386/1000</f>
        <v>68.859818181818184</v>
      </c>
      <c r="S386" s="122"/>
      <c r="T386" s="122">
        <f>AJ386*AN386*N386*0.01</f>
        <v>351.39709090909093</v>
      </c>
      <c r="U386" s="122">
        <f>AJ386*AN386*K386*0.01</f>
        <v>68.859818181818198</v>
      </c>
      <c r="V386" s="126"/>
      <c r="W386" s="122"/>
      <c r="X386" s="122"/>
      <c r="Y386" s="126"/>
      <c r="Z386" s="126"/>
      <c r="AA386" s="1"/>
      <c r="AB386" s="1"/>
      <c r="AC386" s="1"/>
      <c r="AD386" s="1"/>
      <c r="AE386" s="1"/>
      <c r="AF386" s="1"/>
      <c r="AG386" s="124">
        <v>2.2000000000000002</v>
      </c>
      <c r="AH386" s="122">
        <v>78</v>
      </c>
      <c r="AI386" s="122"/>
      <c r="AJ386" s="122">
        <f t="shared" si="12"/>
        <v>35.454545454545453</v>
      </c>
      <c r="AK386" s="1" t="s">
        <v>5</v>
      </c>
      <c r="AL386" s="122"/>
      <c r="AM386" s="122"/>
      <c r="AN386" s="1">
        <v>2.6</v>
      </c>
      <c r="AO386" s="122"/>
      <c r="AP386" s="1">
        <v>25.65</v>
      </c>
      <c r="AQ386" s="1">
        <v>102.49</v>
      </c>
      <c r="AR386" s="1">
        <v>8.98</v>
      </c>
    </row>
    <row r="387" spans="1:44">
      <c r="A387" s="75">
        <v>386</v>
      </c>
      <c r="B387" s="22">
        <v>2015</v>
      </c>
      <c r="C387" s="117" t="s">
        <v>138</v>
      </c>
      <c r="D387" s="9" t="s">
        <v>108</v>
      </c>
      <c r="E387" s="9" t="s">
        <v>25</v>
      </c>
      <c r="F387" s="9" t="s">
        <v>35</v>
      </c>
      <c r="G387" s="9" t="s">
        <v>36</v>
      </c>
      <c r="H387" s="17">
        <v>42237.548611111109</v>
      </c>
      <c r="I387" s="17">
        <v>42237.65625</v>
      </c>
      <c r="J387" s="18">
        <v>4</v>
      </c>
      <c r="K387" s="122"/>
      <c r="L387" s="122"/>
      <c r="M387" s="122"/>
      <c r="N387" s="122"/>
      <c r="O387" s="122">
        <f>W387/X387</f>
        <v>18.29704989965181</v>
      </c>
      <c r="P387" s="122"/>
      <c r="Q387" s="122"/>
      <c r="R387" s="122"/>
      <c r="S387" s="122">
        <f>AJ387*AN387</f>
        <v>1387.5</v>
      </c>
      <c r="T387" s="122">
        <f>$S387*W387</f>
        <v>632.72969250000006</v>
      </c>
      <c r="U387" s="122">
        <f>$S387*X387</f>
        <v>34.580967749999999</v>
      </c>
      <c r="V387" s="1">
        <v>3048.8</v>
      </c>
      <c r="W387" s="122">
        <v>0.45602140000000002</v>
      </c>
      <c r="X387" s="122">
        <v>2.4923219999999999E-2</v>
      </c>
      <c r="Y387" s="126">
        <f>$V387*W387</f>
        <v>1390.3180443200001</v>
      </c>
      <c r="Z387" s="1">
        <v>75.788634005566195</v>
      </c>
      <c r="AA387" s="1">
        <v>994.84714068711696</v>
      </c>
      <c r="AB387" s="1">
        <v>254.20906848474101</v>
      </c>
      <c r="AC387" s="1">
        <v>17.838349395623901</v>
      </c>
      <c r="AD387" s="1">
        <f>AA387/SQRT(10)</f>
        <v>314.59828882772587</v>
      </c>
      <c r="AE387" s="1">
        <f>AB387/SQRT(10)</f>
        <v>80.38796582815101</v>
      </c>
      <c r="AF387" s="1">
        <f>AC387/SQRT(10)</f>
        <v>5.6409813788059573</v>
      </c>
      <c r="AG387" s="124">
        <v>2.2000000000000002</v>
      </c>
      <c r="AH387" s="122">
        <v>82.5</v>
      </c>
      <c r="AI387" s="122"/>
      <c r="AJ387" s="122">
        <f t="shared" si="12"/>
        <v>37.5</v>
      </c>
      <c r="AK387" s="1" t="s">
        <v>83</v>
      </c>
      <c r="AL387" s="122"/>
      <c r="AM387" s="122"/>
      <c r="AN387" s="122">
        <v>37</v>
      </c>
      <c r="AO387" s="122"/>
      <c r="AP387" s="122"/>
      <c r="AQ387" s="122"/>
      <c r="AR387" s="122"/>
    </row>
    <row r="388" spans="1:44">
      <c r="A388" s="75">
        <v>387</v>
      </c>
      <c r="B388" s="22">
        <v>2015</v>
      </c>
      <c r="C388" s="117" t="s">
        <v>138</v>
      </c>
      <c r="D388" s="9" t="s">
        <v>108</v>
      </c>
      <c r="E388" s="9" t="s">
        <v>17</v>
      </c>
      <c r="F388" s="9" t="s">
        <v>37</v>
      </c>
      <c r="G388" s="9" t="s">
        <v>48</v>
      </c>
      <c r="H388" s="17">
        <v>42241.347222222219</v>
      </c>
      <c r="I388" s="17">
        <v>42241.416666666664</v>
      </c>
      <c r="J388" s="18"/>
      <c r="K388" s="1">
        <v>87.9</v>
      </c>
      <c r="L388" s="1">
        <v>55.8</v>
      </c>
      <c r="M388" s="1">
        <v>5.71</v>
      </c>
      <c r="N388" s="1">
        <v>381.5</v>
      </c>
      <c r="O388" s="1">
        <v>4.34</v>
      </c>
      <c r="P388" s="122">
        <f>AJ388*1000*AN388/100</f>
        <v>709.09090909090901</v>
      </c>
      <c r="Q388" s="122">
        <f>N388*P388/1000</f>
        <v>270.51818181818174</v>
      </c>
      <c r="R388" s="122">
        <f>K388*P388/1000</f>
        <v>62.329090909090901</v>
      </c>
      <c r="S388" s="122"/>
      <c r="T388" s="122">
        <f>AJ388*AN388*N388*0.01</f>
        <v>270.5181818181818</v>
      </c>
      <c r="U388" s="122">
        <f>AJ388*AN388*K388*0.01</f>
        <v>62.329090909090908</v>
      </c>
      <c r="V388" s="126"/>
      <c r="W388" s="122"/>
      <c r="X388" s="122"/>
      <c r="Y388" s="126"/>
      <c r="Z388" s="126"/>
      <c r="AA388" s="1"/>
      <c r="AB388" s="1"/>
      <c r="AC388" s="1"/>
      <c r="AD388" s="1"/>
      <c r="AE388" s="1"/>
      <c r="AF388" s="1"/>
      <c r="AG388" s="124">
        <v>2.2000000000000002</v>
      </c>
      <c r="AH388" s="122">
        <v>60</v>
      </c>
      <c r="AI388" s="122"/>
      <c r="AJ388" s="122">
        <f t="shared" si="12"/>
        <v>27.27272727272727</v>
      </c>
      <c r="AK388" s="1" t="s">
        <v>5</v>
      </c>
      <c r="AL388" s="122"/>
      <c r="AM388" s="122"/>
      <c r="AN388" s="1">
        <v>2.6</v>
      </c>
      <c r="AO388" s="122"/>
      <c r="AP388" s="1">
        <v>33.229999999999997</v>
      </c>
      <c r="AQ388" s="1">
        <v>94.25</v>
      </c>
      <c r="AR388" s="1">
        <v>8.01</v>
      </c>
    </row>
    <row r="389" spans="1:44">
      <c r="A389" s="75">
        <v>388</v>
      </c>
      <c r="B389" s="22">
        <v>2015</v>
      </c>
      <c r="C389" s="117" t="s">
        <v>138</v>
      </c>
      <c r="D389" s="9" t="s">
        <v>108</v>
      </c>
      <c r="E389" s="9" t="s">
        <v>25</v>
      </c>
      <c r="F389" s="9" t="s">
        <v>35</v>
      </c>
      <c r="G389" s="9" t="s">
        <v>45</v>
      </c>
      <c r="H389" s="17">
        <v>42275</v>
      </c>
      <c r="I389" s="17">
        <v>42275</v>
      </c>
      <c r="J389" s="18">
        <v>5</v>
      </c>
      <c r="K389" s="122"/>
      <c r="L389" s="122"/>
      <c r="M389" s="122"/>
      <c r="N389" s="122"/>
      <c r="O389" s="122">
        <f>W389/X389</f>
        <v>13.822797018108641</v>
      </c>
      <c r="P389" s="122"/>
      <c r="Q389" s="122"/>
      <c r="R389" s="122"/>
      <c r="S389" s="122">
        <f>AJ389*AN389</f>
        <v>3518.181818181818</v>
      </c>
      <c r="T389" s="122">
        <f>$S389*W389</f>
        <v>1550.0549699999999</v>
      </c>
      <c r="U389" s="122">
        <f>$S389*X389</f>
        <v>112.13757736363637</v>
      </c>
      <c r="V389" s="1">
        <v>1827.2</v>
      </c>
      <c r="W389" s="122">
        <v>0.44058409999999998</v>
      </c>
      <c r="X389" s="122">
        <v>3.1873730000000003E-2</v>
      </c>
      <c r="Y389" s="126">
        <f>$V389*W389</f>
        <v>805.03526751999993</v>
      </c>
      <c r="Z389" s="1">
        <v>53.689283294235203</v>
      </c>
      <c r="AA389" s="1">
        <v>499.52923393486702</v>
      </c>
      <c r="AB389" s="1">
        <v>98.498703863266599</v>
      </c>
      <c r="AC389" s="1">
        <v>9.2544356335809592</v>
      </c>
      <c r="AD389" s="1">
        <f>AA389/SQRT(10)</f>
        <v>157.96501370732543</v>
      </c>
      <c r="AE389" s="1">
        <f>AB389/SQRT(10)</f>
        <v>31.148025078234877</v>
      </c>
      <c r="AF389" s="1">
        <f>AC389/SQRT(10)</f>
        <v>2.9265095061539266</v>
      </c>
      <c r="AG389" s="124">
        <v>2.2000000000000002</v>
      </c>
      <c r="AH389" s="122">
        <v>90</v>
      </c>
      <c r="AI389" s="122"/>
      <c r="AJ389" s="122">
        <f t="shared" si="12"/>
        <v>40.909090909090907</v>
      </c>
      <c r="AK389" s="1" t="s">
        <v>83</v>
      </c>
      <c r="AL389" s="122"/>
      <c r="AM389" s="122"/>
      <c r="AN389" s="122">
        <v>86</v>
      </c>
      <c r="AO389" s="122"/>
      <c r="AP389" s="122"/>
      <c r="AQ389" s="122"/>
      <c r="AR389" s="122"/>
    </row>
    <row r="390" spans="1:44">
      <c r="A390" s="75">
        <v>389</v>
      </c>
      <c r="B390" s="22">
        <v>2015</v>
      </c>
      <c r="C390" s="117" t="s">
        <v>138</v>
      </c>
      <c r="D390" s="9" t="s">
        <v>108</v>
      </c>
      <c r="E390" s="9" t="s">
        <v>17</v>
      </c>
      <c r="F390" s="9" t="s">
        <v>37</v>
      </c>
      <c r="G390" s="9" t="s">
        <v>48</v>
      </c>
      <c r="H390" s="17">
        <v>42285.368055555555</v>
      </c>
      <c r="I390" s="17">
        <v>42285.430555555555</v>
      </c>
      <c r="J390" s="1"/>
      <c r="K390" s="1">
        <v>79</v>
      </c>
      <c r="L390" s="1">
        <v>45.7</v>
      </c>
      <c r="M390" s="1">
        <v>3.51</v>
      </c>
      <c r="N390" s="1">
        <v>370.1</v>
      </c>
      <c r="O390" s="1">
        <v>4.68</v>
      </c>
      <c r="P390" s="122">
        <f>AJ390*1000*AN390/100</f>
        <v>563.63636363636363</v>
      </c>
      <c r="Q390" s="122">
        <f>N390*P390/1000</f>
        <v>208.60181818181817</v>
      </c>
      <c r="R390" s="122">
        <f>K390*P390/1000</f>
        <v>44.527272727272731</v>
      </c>
      <c r="S390" s="122"/>
      <c r="T390" s="122">
        <f>AJ390*AN390*N390*0.01</f>
        <v>208.6018181818182</v>
      </c>
      <c r="U390" s="122">
        <f>AJ390*AN390*K390*0.01</f>
        <v>44.527272727272724</v>
      </c>
      <c r="V390" s="126"/>
      <c r="W390" s="122"/>
      <c r="X390" s="122"/>
      <c r="Y390" s="126"/>
      <c r="Z390" s="126"/>
      <c r="AA390" s="1"/>
      <c r="AB390" s="1"/>
      <c r="AC390" s="1"/>
      <c r="AD390" s="1"/>
      <c r="AE390" s="1"/>
      <c r="AF390" s="1"/>
      <c r="AG390" s="124">
        <v>2.2000000000000002</v>
      </c>
      <c r="AH390" s="122">
        <v>62</v>
      </c>
      <c r="AI390" s="122"/>
      <c r="AJ390" s="122">
        <f t="shared" si="12"/>
        <v>28.18181818181818</v>
      </c>
      <c r="AK390" s="1" t="s">
        <v>5</v>
      </c>
      <c r="AL390" s="122"/>
      <c r="AM390" s="122"/>
      <c r="AN390" s="1">
        <v>2</v>
      </c>
      <c r="AO390" s="122"/>
      <c r="AP390" s="1">
        <v>35.799999999999997</v>
      </c>
      <c r="AQ390" s="1">
        <v>81.040000000000006</v>
      </c>
      <c r="AR390" s="1">
        <v>8.14</v>
      </c>
    </row>
    <row r="391" spans="1:44">
      <c r="A391" s="75">
        <v>390</v>
      </c>
      <c r="B391" s="22">
        <v>2015</v>
      </c>
      <c r="C391" s="118" t="s">
        <v>139</v>
      </c>
      <c r="D391" s="9" t="s">
        <v>108</v>
      </c>
      <c r="E391" s="9" t="s">
        <v>23</v>
      </c>
      <c r="F391" s="9" t="s">
        <v>38</v>
      </c>
      <c r="G391" s="33" t="s">
        <v>185</v>
      </c>
      <c r="H391" s="17">
        <v>42076.5625</v>
      </c>
      <c r="I391" s="17">
        <v>42076.711805555555</v>
      </c>
      <c r="J391" s="36"/>
      <c r="K391" s="122"/>
      <c r="L391" s="122"/>
      <c r="M391" s="122"/>
      <c r="N391" s="122"/>
      <c r="O391" s="122"/>
      <c r="P391" s="122"/>
      <c r="Q391" s="122"/>
      <c r="R391" s="122"/>
      <c r="S391" s="122"/>
      <c r="T391" s="122"/>
      <c r="U391" s="122"/>
      <c r="V391" s="126"/>
      <c r="W391" s="122"/>
      <c r="X391" s="122"/>
      <c r="Y391" s="126"/>
      <c r="Z391" s="126"/>
      <c r="AA391" s="1"/>
      <c r="AB391" s="1"/>
      <c r="AC391" s="1"/>
      <c r="AD391" s="1"/>
      <c r="AE391" s="1"/>
      <c r="AF391" s="1"/>
      <c r="AG391" s="124">
        <v>2.7</v>
      </c>
      <c r="AH391" s="1"/>
      <c r="AI391" s="1"/>
      <c r="AJ391" s="122">
        <v>20</v>
      </c>
      <c r="AK391" s="1" t="s">
        <v>3</v>
      </c>
      <c r="AL391" s="122"/>
      <c r="AM391" s="122"/>
      <c r="AN391" s="122"/>
      <c r="AO391" s="122"/>
      <c r="AP391" s="122"/>
      <c r="AQ391" s="122"/>
      <c r="AR391" s="122"/>
    </row>
    <row r="392" spans="1:44">
      <c r="A392" s="75">
        <v>391</v>
      </c>
      <c r="B392" s="22">
        <v>2015</v>
      </c>
      <c r="C392" s="118" t="s">
        <v>139</v>
      </c>
      <c r="D392" s="9" t="s">
        <v>108</v>
      </c>
      <c r="E392" s="9" t="s">
        <v>24</v>
      </c>
      <c r="F392" s="9" t="s">
        <v>30</v>
      </c>
      <c r="G392" s="34" t="s">
        <v>127</v>
      </c>
      <c r="H392" s="17">
        <v>42076.652777777781</v>
      </c>
      <c r="I392" s="17">
        <v>42076.753472222219</v>
      </c>
      <c r="J392" s="36"/>
      <c r="K392" s="122"/>
      <c r="L392" s="122"/>
      <c r="M392" s="122"/>
      <c r="N392" s="122"/>
      <c r="O392" s="122"/>
      <c r="P392" s="122"/>
      <c r="Q392" s="122"/>
      <c r="R392" s="122"/>
      <c r="S392" s="122"/>
      <c r="T392" s="122"/>
      <c r="U392" s="122"/>
      <c r="V392" s="1"/>
      <c r="W392" s="122"/>
      <c r="X392" s="122"/>
      <c r="Y392" s="1"/>
      <c r="Z392" s="1"/>
      <c r="AA392" s="1"/>
      <c r="AB392" s="1"/>
      <c r="AC392" s="1"/>
      <c r="AD392" s="1"/>
      <c r="AE392" s="1"/>
      <c r="AF392" s="1"/>
      <c r="AG392" s="124">
        <v>2.7</v>
      </c>
      <c r="AH392" s="122"/>
      <c r="AI392" s="122"/>
      <c r="AJ392" s="122"/>
      <c r="AL392" s="122"/>
      <c r="AM392" s="122"/>
      <c r="AN392" s="122"/>
      <c r="AO392" s="122"/>
      <c r="AP392" s="122"/>
      <c r="AQ392" s="122"/>
      <c r="AR392" s="122"/>
    </row>
    <row r="393" spans="1:44">
      <c r="A393" s="75">
        <v>392</v>
      </c>
      <c r="B393" s="22">
        <v>2015</v>
      </c>
      <c r="C393" s="118" t="s">
        <v>139</v>
      </c>
      <c r="D393" s="9" t="s">
        <v>108</v>
      </c>
      <c r="E393" s="9" t="s">
        <v>24</v>
      </c>
      <c r="F393" s="9" t="s">
        <v>42</v>
      </c>
      <c r="G393" s="34"/>
      <c r="H393" s="17">
        <v>42076.652777777781</v>
      </c>
      <c r="I393" s="17">
        <v>42076.753472222219</v>
      </c>
      <c r="J393" s="18"/>
      <c r="K393" s="122"/>
      <c r="L393" s="122"/>
      <c r="M393" s="122"/>
      <c r="N393" s="122"/>
      <c r="O393" s="122"/>
      <c r="P393" s="122"/>
      <c r="Q393" s="122"/>
      <c r="R393" s="122"/>
      <c r="S393" s="122"/>
      <c r="T393" s="122"/>
      <c r="U393" s="122"/>
      <c r="V393" s="126"/>
      <c r="W393" s="122"/>
      <c r="X393" s="122"/>
      <c r="Y393" s="126"/>
      <c r="Z393" s="126"/>
      <c r="AA393" s="1"/>
      <c r="AB393" s="1"/>
      <c r="AC393" s="1"/>
      <c r="AD393" s="1"/>
      <c r="AE393" s="1"/>
      <c r="AF393" s="1"/>
      <c r="AG393" s="124">
        <v>2.7</v>
      </c>
      <c r="AH393" s="1"/>
      <c r="AI393" s="1"/>
      <c r="AJ393" s="122">
        <v>20</v>
      </c>
      <c r="AK393" s="1" t="s">
        <v>3</v>
      </c>
      <c r="AL393" s="122"/>
      <c r="AM393" s="122"/>
      <c r="AN393" s="122"/>
      <c r="AO393" s="122"/>
      <c r="AP393" s="122"/>
      <c r="AQ393" s="122"/>
      <c r="AR393" s="122"/>
    </row>
    <row r="394" spans="1:44" ht="15" customHeight="1">
      <c r="A394" s="75">
        <v>393</v>
      </c>
      <c r="B394" s="22">
        <v>2015</v>
      </c>
      <c r="C394" s="118" t="s">
        <v>139</v>
      </c>
      <c r="D394" s="9" t="s">
        <v>108</v>
      </c>
      <c r="E394" s="9" t="s">
        <v>25</v>
      </c>
      <c r="F394" s="9" t="s">
        <v>35</v>
      </c>
      <c r="G394" s="9" t="s">
        <v>36</v>
      </c>
      <c r="H394" s="17">
        <v>42115.458333333336</v>
      </c>
      <c r="I394" s="17">
        <v>42115</v>
      </c>
      <c r="J394" s="18">
        <v>1</v>
      </c>
      <c r="K394" s="122"/>
      <c r="L394" s="122"/>
      <c r="M394" s="122"/>
      <c r="N394" s="122"/>
      <c r="O394" s="122">
        <f t="shared" ref="O394:O399" si="13">W394/X394</f>
        <v>16.324096363735091</v>
      </c>
      <c r="P394" s="122"/>
      <c r="Q394" s="122"/>
      <c r="R394" s="122"/>
      <c r="S394" s="122">
        <f>AJ394*AN394</f>
        <v>411.07</v>
      </c>
      <c r="T394" s="122">
        <f t="shared" ref="T394:U400" si="14">$S394*W394</f>
        <v>181.66256192699998</v>
      </c>
      <c r="U394" s="122">
        <f t="shared" si="14"/>
        <v>11.1284911507</v>
      </c>
      <c r="V394" s="1">
        <v>1598.8</v>
      </c>
      <c r="W394" s="122">
        <v>0.44192609999999999</v>
      </c>
      <c r="X394" s="122">
        <v>2.7072010000000001E-2</v>
      </c>
      <c r="Y394" s="126">
        <f t="shared" ref="Y394:Y400" si="15">$V394*W394</f>
        <v>706.55144867999991</v>
      </c>
      <c r="Z394" s="1">
        <v>42.005532393137301</v>
      </c>
      <c r="AA394" s="1">
        <v>872.78473863834301</v>
      </c>
      <c r="AB394" s="1">
        <v>383.17264211244498</v>
      </c>
      <c r="AC394" s="1">
        <v>21.195646296039801</v>
      </c>
      <c r="AD394" s="1">
        <f t="shared" ref="AD394:AF400" si="16">AA394/SQRT(10)</f>
        <v>275.99876811319297</v>
      </c>
      <c r="AE394" s="1">
        <f t="shared" si="16"/>
        <v>121.16982861398782</v>
      </c>
      <c r="AF394" s="1">
        <f t="shared" si="16"/>
        <v>6.702651877479731</v>
      </c>
      <c r="AG394" s="124">
        <v>2.7</v>
      </c>
      <c r="AH394" s="122">
        <f>AG394*AJ394</f>
        <v>29.997</v>
      </c>
      <c r="AI394" s="122"/>
      <c r="AJ394" s="122">
        <v>11.11</v>
      </c>
      <c r="AK394" s="1" t="s">
        <v>83</v>
      </c>
      <c r="AL394" s="122"/>
      <c r="AM394" s="122"/>
      <c r="AN394" s="122">
        <v>37</v>
      </c>
      <c r="AO394" s="122"/>
      <c r="AP394" s="122"/>
      <c r="AQ394" s="122"/>
      <c r="AR394" s="122"/>
    </row>
    <row r="395" spans="1:44">
      <c r="A395" s="75">
        <v>394</v>
      </c>
      <c r="B395" s="22">
        <v>2015</v>
      </c>
      <c r="C395" s="118" t="s">
        <v>139</v>
      </c>
      <c r="D395" s="9" t="s">
        <v>108</v>
      </c>
      <c r="E395" s="9" t="s">
        <v>25</v>
      </c>
      <c r="F395" s="9" t="s">
        <v>35</v>
      </c>
      <c r="G395" s="33" t="s">
        <v>43</v>
      </c>
      <c r="H395" s="17">
        <v>42157.631944444445</v>
      </c>
      <c r="I395" s="17">
        <v>42157.777777777781</v>
      </c>
      <c r="J395" s="18">
        <v>2</v>
      </c>
      <c r="K395" s="122"/>
      <c r="L395" s="122"/>
      <c r="M395" s="122"/>
      <c r="N395" s="122"/>
      <c r="O395" s="122">
        <f t="shared" si="13"/>
        <v>25.277548561897113</v>
      </c>
      <c r="P395" s="122"/>
      <c r="Q395" s="122"/>
      <c r="R395" s="122"/>
      <c r="S395" s="122">
        <f>AJ395*AN395</f>
        <v>3110.7999999999997</v>
      </c>
      <c r="T395" s="122">
        <f t="shared" si="14"/>
        <v>1425.5794722399999</v>
      </c>
      <c r="U395" s="122">
        <f t="shared" si="14"/>
        <v>56.397061951999994</v>
      </c>
      <c r="V395" s="1">
        <v>3427.6</v>
      </c>
      <c r="W395" s="122">
        <v>0.4582678</v>
      </c>
      <c r="X395" s="122">
        <v>1.812944E-2</v>
      </c>
      <c r="Y395" s="126">
        <f t="shared" si="15"/>
        <v>1570.7587112799999</v>
      </c>
      <c r="Z395" s="1">
        <v>61.642646647914297</v>
      </c>
      <c r="AA395" s="1">
        <v>1073.7114603095199</v>
      </c>
      <c r="AB395" s="1">
        <v>488.98512223177897</v>
      </c>
      <c r="AC395" s="1">
        <v>17.241894747347001</v>
      </c>
      <c r="AD395" s="1">
        <f t="shared" si="16"/>
        <v>339.53737644035618</v>
      </c>
      <c r="AE395" s="1">
        <f t="shared" si="16"/>
        <v>154.6306728188259</v>
      </c>
      <c r="AF395" s="1">
        <f t="shared" si="16"/>
        <v>5.4523658578509941</v>
      </c>
      <c r="AG395" s="124">
        <v>2.7</v>
      </c>
      <c r="AH395" s="122">
        <f>AG395*AJ395</f>
        <v>119.988</v>
      </c>
      <c r="AI395" s="122"/>
      <c r="AJ395" s="122">
        <v>44.44</v>
      </c>
      <c r="AK395" s="1" t="s">
        <v>83</v>
      </c>
      <c r="AL395" s="122"/>
      <c r="AM395" s="122"/>
      <c r="AN395" s="122">
        <v>70</v>
      </c>
      <c r="AO395" s="122"/>
      <c r="AP395" s="122"/>
      <c r="AQ395" s="122"/>
      <c r="AR395" s="122"/>
    </row>
    <row r="396" spans="1:44">
      <c r="A396" s="75">
        <v>395</v>
      </c>
      <c r="B396" s="22">
        <v>2015</v>
      </c>
      <c r="C396" s="118" t="s">
        <v>139</v>
      </c>
      <c r="D396" s="9" t="s">
        <v>108</v>
      </c>
      <c r="E396" s="9" t="s">
        <v>25</v>
      </c>
      <c r="F396" s="9" t="s">
        <v>29</v>
      </c>
      <c r="G396" s="34" t="s">
        <v>47</v>
      </c>
      <c r="H396" s="17">
        <v>42170.381944444445</v>
      </c>
      <c r="I396" s="17">
        <v>42174.697916666664</v>
      </c>
      <c r="J396" s="18">
        <v>3</v>
      </c>
      <c r="K396" s="122"/>
      <c r="L396" s="122"/>
      <c r="M396" s="122"/>
      <c r="N396" s="122"/>
      <c r="O396" s="122">
        <f t="shared" si="13"/>
        <v>13.892082691665545</v>
      </c>
      <c r="P396" s="122"/>
      <c r="Q396" s="122"/>
      <c r="R396" s="122"/>
      <c r="S396" s="122">
        <f>AJ396*AM396*AL396</f>
        <v>211.11111111111109</v>
      </c>
      <c r="T396" s="122">
        <f t="shared" si="14"/>
        <v>94.153275555555538</v>
      </c>
      <c r="U396" s="122">
        <f t="shared" si="14"/>
        <v>6.7774773333333327</v>
      </c>
      <c r="V396" s="1">
        <v>751.2</v>
      </c>
      <c r="W396" s="122">
        <v>0.44598919999999997</v>
      </c>
      <c r="X396" s="122">
        <v>3.2103840000000002E-2</v>
      </c>
      <c r="Y396" s="126">
        <f t="shared" si="15"/>
        <v>335.02708704000003</v>
      </c>
      <c r="Z396" s="1">
        <v>24.9378569068171</v>
      </c>
      <c r="AA396" s="1">
        <v>155.106271812443</v>
      </c>
      <c r="AB396" s="1">
        <v>89.046097199829404</v>
      </c>
      <c r="AC396" s="1">
        <v>6.8834984568122604</v>
      </c>
      <c r="AD396" s="1">
        <f t="shared" si="16"/>
        <v>49.048909830449283</v>
      </c>
      <c r="AE396" s="1">
        <f t="shared" si="16"/>
        <v>28.158848390020257</v>
      </c>
      <c r="AF396" s="1">
        <f t="shared" si="16"/>
        <v>2.1767533393780925</v>
      </c>
      <c r="AG396" s="124">
        <v>2.7</v>
      </c>
      <c r="AH396" s="146">
        <v>76</v>
      </c>
      <c r="AI396" s="146"/>
      <c r="AJ396" s="122">
        <f>AH396/AG396</f>
        <v>28.148148148148145</v>
      </c>
      <c r="AK396" s="1" t="s">
        <v>66</v>
      </c>
      <c r="AL396" s="122">
        <v>5</v>
      </c>
      <c r="AM396" s="122">
        <v>1.5</v>
      </c>
      <c r="AN396" s="122"/>
      <c r="AO396" s="122"/>
      <c r="AP396" s="122"/>
      <c r="AQ396" s="122"/>
      <c r="AR396" s="122"/>
    </row>
    <row r="397" spans="1:44" ht="15.95" customHeight="1">
      <c r="A397" s="75">
        <v>396</v>
      </c>
      <c r="B397" s="22">
        <v>2015</v>
      </c>
      <c r="C397" s="118" t="s">
        <v>139</v>
      </c>
      <c r="D397" s="9" t="s">
        <v>108</v>
      </c>
      <c r="E397" s="9" t="s">
        <v>25</v>
      </c>
      <c r="F397" s="9" t="s">
        <v>29</v>
      </c>
      <c r="G397" s="9" t="s">
        <v>47</v>
      </c>
      <c r="H397" s="17">
        <v>42186.25</v>
      </c>
      <c r="I397" s="17">
        <v>42191.416666666664</v>
      </c>
      <c r="J397" s="18">
        <v>4</v>
      </c>
      <c r="K397" s="122"/>
      <c r="L397" s="122"/>
      <c r="M397" s="122"/>
      <c r="N397" s="122"/>
      <c r="O397" s="122">
        <f t="shared" si="13"/>
        <v>15.88844095789373</v>
      </c>
      <c r="P397" s="122"/>
      <c r="Q397" s="122"/>
      <c r="R397" s="122"/>
      <c r="S397" s="122">
        <f>AJ397*AM397*AL397</f>
        <v>116.66666666666666</v>
      </c>
      <c r="T397" s="122">
        <f t="shared" si="14"/>
        <v>51.778731666666658</v>
      </c>
      <c r="U397" s="122">
        <f t="shared" si="14"/>
        <v>3.2588931666666663</v>
      </c>
      <c r="V397" s="1">
        <v>1090.6666666666699</v>
      </c>
      <c r="W397" s="122">
        <v>0.44381769999999998</v>
      </c>
      <c r="X397" s="122">
        <v>2.7933369999999999E-2</v>
      </c>
      <c r="Y397" s="126">
        <f t="shared" si="15"/>
        <v>484.05717146666808</v>
      </c>
      <c r="Z397" s="1">
        <v>24.4390396825987</v>
      </c>
      <c r="AA397" s="1">
        <v>400.18433252689903</v>
      </c>
      <c r="AB397" s="1">
        <v>93.908363002444403</v>
      </c>
      <c r="AC397" s="1">
        <v>4.3226965692665704</v>
      </c>
      <c r="AD397" s="1">
        <f>AA397/SQRT(10)</f>
        <v>126.54939746992068</v>
      </c>
      <c r="AE397" s="1">
        <f t="shared" si="16"/>
        <v>29.696431842561267</v>
      </c>
      <c r="AF397" s="1">
        <f t="shared" si="16"/>
        <v>1.3669566792678169</v>
      </c>
      <c r="AG397" s="124">
        <v>2.7</v>
      </c>
      <c r="AH397" s="147">
        <v>84</v>
      </c>
      <c r="AI397" s="146"/>
      <c r="AJ397" s="122">
        <f>AH397/AG397</f>
        <v>31.111111111111111</v>
      </c>
      <c r="AK397" s="1" t="s">
        <v>66</v>
      </c>
      <c r="AL397" s="122">
        <f>5*0.5</f>
        <v>2.5</v>
      </c>
      <c r="AM397" s="122">
        <v>1.5</v>
      </c>
      <c r="AN397" s="122"/>
      <c r="AO397" s="122"/>
      <c r="AP397" s="122"/>
      <c r="AQ397" s="122"/>
      <c r="AR397" s="122"/>
    </row>
    <row r="398" spans="1:44" ht="14.1" customHeight="1">
      <c r="A398" s="75">
        <v>397</v>
      </c>
      <c r="B398" s="22">
        <v>2015</v>
      </c>
      <c r="C398" s="118" t="s">
        <v>139</v>
      </c>
      <c r="D398" s="9" t="s">
        <v>108</v>
      </c>
      <c r="E398" s="9" t="s">
        <v>25</v>
      </c>
      <c r="F398" s="9" t="s">
        <v>35</v>
      </c>
      <c r="G398" s="9" t="s">
        <v>36</v>
      </c>
      <c r="H398" s="17">
        <v>42237.548611111109</v>
      </c>
      <c r="I398" s="17">
        <v>42237.65625</v>
      </c>
      <c r="J398" s="18">
        <v>5</v>
      </c>
      <c r="K398" s="122"/>
      <c r="L398" s="122"/>
      <c r="M398" s="122"/>
      <c r="N398" s="122"/>
      <c r="O398" s="122">
        <f t="shared" si="13"/>
        <v>15.844129418051208</v>
      </c>
      <c r="P398" s="122"/>
      <c r="Q398" s="122"/>
      <c r="R398" s="122"/>
      <c r="S398" s="122">
        <f>AJ398*AN398</f>
        <v>925</v>
      </c>
      <c r="T398" s="122">
        <f t="shared" si="14"/>
        <v>425.67066249999999</v>
      </c>
      <c r="U398" s="122">
        <f t="shared" si="14"/>
        <v>26.866144000000002</v>
      </c>
      <c r="V398" s="1">
        <v>2232.88</v>
      </c>
      <c r="W398" s="122">
        <v>0.4601845</v>
      </c>
      <c r="X398" s="122">
        <v>2.9044480000000001E-2</v>
      </c>
      <c r="Y398" s="126">
        <f t="shared" si="15"/>
        <v>1027.53676636</v>
      </c>
      <c r="Z398" s="1">
        <v>50.148697192953897</v>
      </c>
      <c r="AA398" s="1">
        <v>659.97243124239696</v>
      </c>
      <c r="AB398" s="1">
        <v>301.506923874515</v>
      </c>
      <c r="AC398" s="1">
        <v>19.732021349748901</v>
      </c>
      <c r="AD398" s="1">
        <f>AA398/SQRT(10)</f>
        <v>208.70160756448436</v>
      </c>
      <c r="AE398" s="1">
        <f t="shared" si="16"/>
        <v>95.344860975446693</v>
      </c>
      <c r="AF398" s="1">
        <f t="shared" si="16"/>
        <v>6.239813030427646</v>
      </c>
      <c r="AG398" s="124">
        <v>2.7</v>
      </c>
      <c r="AH398" s="148">
        <v>67.5</v>
      </c>
      <c r="AI398" s="122"/>
      <c r="AJ398" s="122">
        <f>AH398/AG398</f>
        <v>25</v>
      </c>
      <c r="AK398" s="1" t="s">
        <v>83</v>
      </c>
      <c r="AL398" s="122"/>
      <c r="AM398" s="122"/>
      <c r="AN398" s="122">
        <v>37</v>
      </c>
      <c r="AO398" s="122"/>
      <c r="AP398" s="122"/>
      <c r="AQ398" s="122"/>
      <c r="AR398" s="122"/>
    </row>
    <row r="399" spans="1:44">
      <c r="A399" s="75">
        <v>398</v>
      </c>
      <c r="B399" s="22">
        <v>2015</v>
      </c>
      <c r="C399" s="118" t="s">
        <v>139</v>
      </c>
      <c r="D399" s="9" t="s">
        <v>108</v>
      </c>
      <c r="E399" s="9" t="s">
        <v>25</v>
      </c>
      <c r="F399" s="9" t="s">
        <v>35</v>
      </c>
      <c r="G399" s="9" t="s">
        <v>45</v>
      </c>
      <c r="H399" s="17">
        <v>42275</v>
      </c>
      <c r="I399" s="17">
        <v>42275</v>
      </c>
      <c r="J399" s="18">
        <v>6</v>
      </c>
      <c r="K399" s="122"/>
      <c r="L399" s="122"/>
      <c r="M399" s="122"/>
      <c r="N399" s="122"/>
      <c r="O399" s="122">
        <f t="shared" si="13"/>
        <v>14.362084740532451</v>
      </c>
      <c r="P399" s="122"/>
      <c r="Q399" s="122"/>
      <c r="R399" s="122"/>
      <c r="S399" s="122">
        <f>AJ399*AN399</f>
        <v>1911.1111111111111</v>
      </c>
      <c r="T399" s="122">
        <f t="shared" si="14"/>
        <v>863.66895111111103</v>
      </c>
      <c r="U399" s="122">
        <f t="shared" si="14"/>
        <v>60.135347111111116</v>
      </c>
      <c r="V399" s="1">
        <v>1307.1400000000001</v>
      </c>
      <c r="W399" s="122">
        <v>0.45191979999999998</v>
      </c>
      <c r="X399" s="122">
        <v>3.1466170000000002E-2</v>
      </c>
      <c r="Y399" s="126">
        <f t="shared" si="15"/>
        <v>590.72244737200003</v>
      </c>
      <c r="Z399" s="1">
        <v>40.561774153248898</v>
      </c>
      <c r="AA399" s="1">
        <v>218.680696704376</v>
      </c>
      <c r="AB399" s="1">
        <v>106.979774069382</v>
      </c>
      <c r="AC399" s="1">
        <v>9.5066350277406606</v>
      </c>
      <c r="AD399" s="1">
        <f t="shared" si="16"/>
        <v>69.152908189830512</v>
      </c>
      <c r="AE399" s="1">
        <f t="shared" si="16"/>
        <v>33.829974962946714</v>
      </c>
      <c r="AF399" s="1">
        <f t="shared" si="16"/>
        <v>3.006261957159849</v>
      </c>
      <c r="AG399" s="124">
        <v>2.7</v>
      </c>
      <c r="AH399" s="122">
        <v>60</v>
      </c>
      <c r="AI399" s="122"/>
      <c r="AJ399" s="122">
        <f>AH399/AG399</f>
        <v>22.222222222222221</v>
      </c>
      <c r="AK399" s="1" t="s">
        <v>83</v>
      </c>
      <c r="AL399" s="122"/>
      <c r="AM399" s="122"/>
      <c r="AN399" s="122">
        <v>86</v>
      </c>
      <c r="AO399" s="122"/>
      <c r="AP399" s="122"/>
      <c r="AQ399" s="122"/>
      <c r="AR399" s="122"/>
    </row>
    <row r="400" spans="1:44">
      <c r="A400" s="75">
        <v>399</v>
      </c>
      <c r="B400" s="23">
        <v>2016</v>
      </c>
      <c r="C400" s="117" t="s">
        <v>138</v>
      </c>
      <c r="D400" s="9" t="s">
        <v>108</v>
      </c>
      <c r="E400" s="9" t="s">
        <v>25</v>
      </c>
      <c r="F400" s="9" t="s">
        <v>29</v>
      </c>
      <c r="G400" s="9" t="s">
        <v>47</v>
      </c>
      <c r="H400" s="17">
        <v>42395.416666666664</v>
      </c>
      <c r="I400" s="17">
        <v>42410.4375</v>
      </c>
      <c r="J400" s="18"/>
      <c r="K400" s="122"/>
      <c r="L400" s="122"/>
      <c r="M400" s="122"/>
      <c r="N400" s="122"/>
      <c r="O400" s="122"/>
      <c r="P400" s="122"/>
      <c r="Q400" s="122"/>
      <c r="R400" s="122"/>
      <c r="S400" s="125">
        <f>AL400*AJ400*AM400</f>
        <v>124.15178571430575</v>
      </c>
      <c r="T400" s="122">
        <f t="shared" si="14"/>
        <v>52.80253114590775</v>
      </c>
      <c r="U400" s="122">
        <f t="shared" si="14"/>
        <v>3.803799585359303</v>
      </c>
      <c r="V400" s="1">
        <v>782.76</v>
      </c>
      <c r="W400" s="122">
        <v>0.42530625590368309</v>
      </c>
      <c r="X400" s="1">
        <v>3.0638299428994837E-2</v>
      </c>
      <c r="Y400" s="126">
        <f t="shared" si="15"/>
        <v>332.91272487116697</v>
      </c>
      <c r="Z400" s="1">
        <v>23.982435261039999</v>
      </c>
      <c r="AA400" s="1">
        <v>244.68966672093001</v>
      </c>
      <c r="AB400" s="1">
        <v>103.253737289703</v>
      </c>
      <c r="AC400" s="1">
        <v>6.33929984851261</v>
      </c>
      <c r="AD400" s="1">
        <f t="shared" si="16"/>
        <v>77.37766667456431</v>
      </c>
      <c r="AE400" s="1">
        <f t="shared" si="16"/>
        <v>32.651698676012252</v>
      </c>
      <c r="AF400" s="1">
        <f t="shared" si="16"/>
        <v>2.0046626292060217</v>
      </c>
      <c r="AG400" s="124">
        <v>2.2000000000000002</v>
      </c>
      <c r="AH400" s="146">
        <v>27</v>
      </c>
      <c r="AI400" s="146"/>
      <c r="AJ400" s="124">
        <f>27/4.9</f>
        <v>5.5102040816326525</v>
      </c>
      <c r="AK400" s="1" t="s">
        <v>66</v>
      </c>
      <c r="AL400" s="122">
        <f>I400-H400</f>
        <v>15.020833333335759</v>
      </c>
      <c r="AM400" s="122">
        <v>1.5</v>
      </c>
      <c r="AN400" s="122"/>
      <c r="AO400" s="122"/>
      <c r="AP400" s="122"/>
      <c r="AQ400" s="122"/>
      <c r="AR400" s="122"/>
    </row>
    <row r="401" spans="1:44">
      <c r="A401" s="75">
        <v>400</v>
      </c>
      <c r="B401" s="23">
        <v>2016</v>
      </c>
      <c r="C401" s="117" t="s">
        <v>138</v>
      </c>
      <c r="D401" s="9" t="s">
        <v>108</v>
      </c>
      <c r="E401" s="9" t="s">
        <v>17</v>
      </c>
      <c r="F401" s="9" t="s">
        <v>37</v>
      </c>
      <c r="G401" s="9" t="s">
        <v>48</v>
      </c>
      <c r="H401" s="17">
        <v>42452.368055555555</v>
      </c>
      <c r="I401" s="17">
        <v>42452.416666666664</v>
      </c>
      <c r="J401" s="18"/>
      <c r="K401" s="1">
        <v>72.8</v>
      </c>
      <c r="L401" s="1">
        <v>43.4</v>
      </c>
      <c r="M401" s="1">
        <v>1</v>
      </c>
      <c r="N401" s="1">
        <v>387.6</v>
      </c>
      <c r="O401" s="1">
        <v>5.32</v>
      </c>
      <c r="P401" s="122">
        <f>AJ401*1000*AN401/100</f>
        <v>343.70370370370404</v>
      </c>
      <c r="Q401" s="122">
        <f>N401*P401/1000</f>
        <v>133.21955555555567</v>
      </c>
      <c r="R401" s="122">
        <f>K401*P401/1000</f>
        <v>25.021629629629654</v>
      </c>
      <c r="S401" s="122"/>
      <c r="T401" s="122">
        <f>AJ401*AN401*N401*0.01</f>
        <v>133.2195555555557</v>
      </c>
      <c r="U401" s="122">
        <f>AJ401*AN401*K401*0.01</f>
        <v>25.021629629629651</v>
      </c>
      <c r="V401" s="122"/>
      <c r="W401" s="122"/>
      <c r="X401" s="122"/>
      <c r="Y401" s="122"/>
      <c r="Z401" s="122"/>
      <c r="AA401" s="1"/>
      <c r="AB401" s="1"/>
      <c r="AC401" s="1"/>
      <c r="AD401" s="1"/>
      <c r="AE401" s="1"/>
      <c r="AF401" s="1"/>
      <c r="AG401" s="124">
        <v>2.2000000000000002</v>
      </c>
      <c r="AH401" s="149">
        <f>AG401*AJ401</f>
        <v>47.259259259259302</v>
      </c>
      <c r="AI401" s="149"/>
      <c r="AJ401" s="122">
        <v>21.481481481481499</v>
      </c>
      <c r="AK401" s="1" t="s">
        <v>5</v>
      </c>
      <c r="AL401" s="122"/>
      <c r="AM401" s="122"/>
      <c r="AN401" s="1">
        <v>1.6</v>
      </c>
      <c r="AO401" s="122"/>
      <c r="AP401" s="1">
        <v>24.48</v>
      </c>
      <c r="AQ401" s="1">
        <v>101.78</v>
      </c>
      <c r="AR401" s="1">
        <v>7.12</v>
      </c>
    </row>
    <row r="402" spans="1:44">
      <c r="A402" s="75">
        <v>401</v>
      </c>
      <c r="B402" s="23">
        <v>2016</v>
      </c>
      <c r="C402" s="117" t="s">
        <v>138</v>
      </c>
      <c r="D402" s="9" t="s">
        <v>108</v>
      </c>
      <c r="E402" s="9" t="s">
        <v>25</v>
      </c>
      <c r="F402" s="9" t="s">
        <v>35</v>
      </c>
      <c r="G402" s="9" t="s">
        <v>45</v>
      </c>
      <c r="H402" s="17">
        <v>42515.548611111109</v>
      </c>
      <c r="I402" s="17">
        <v>42515.548611111109</v>
      </c>
      <c r="J402" s="11">
        <v>1</v>
      </c>
      <c r="K402" s="122"/>
      <c r="L402" s="122"/>
      <c r="M402" s="122"/>
      <c r="N402" s="122"/>
      <c r="O402" s="122"/>
      <c r="P402" s="122"/>
      <c r="Q402" s="122"/>
      <c r="R402" s="122"/>
      <c r="S402" s="122">
        <f>AJ402*AN402</f>
        <v>7036.363636363636</v>
      </c>
      <c r="T402" s="122"/>
      <c r="U402" s="122"/>
      <c r="V402" s="1">
        <v>6055.05</v>
      </c>
      <c r="W402" s="122">
        <v>0.43104316963887668</v>
      </c>
      <c r="X402" s="1">
        <v>1.54260599643704E-2</v>
      </c>
      <c r="Y402" s="126">
        <f>$V402*W402</f>
        <v>2609.9879443218801</v>
      </c>
      <c r="Z402" s="1">
        <v>93.405564387260995</v>
      </c>
      <c r="AA402" s="1">
        <v>1274.2521582393999</v>
      </c>
      <c r="AB402" s="1">
        <v>643.75896165654899</v>
      </c>
      <c r="AC402" s="1">
        <v>37.761412614540397</v>
      </c>
      <c r="AD402" s="1">
        <f>AA402/SQRT(10)</f>
        <v>402.9539133421797</v>
      </c>
      <c r="AE402" s="1">
        <f>AB402/SQRT(10)</f>
        <v>203.5744582979697</v>
      </c>
      <c r="AF402" s="1">
        <f>AC402/SQRT(10)</f>
        <v>11.941207152736153</v>
      </c>
      <c r="AG402" s="124">
        <v>2.2000000000000002</v>
      </c>
      <c r="AH402" s="1">
        <v>180</v>
      </c>
      <c r="AI402" s="1"/>
      <c r="AJ402" s="122">
        <f>AH402/AG402</f>
        <v>81.818181818181813</v>
      </c>
      <c r="AK402" s="1" t="s">
        <v>83</v>
      </c>
      <c r="AL402" s="122"/>
      <c r="AM402" s="122"/>
      <c r="AN402" s="122">
        <v>86</v>
      </c>
      <c r="AO402" s="122"/>
      <c r="AP402" s="122"/>
      <c r="AQ402" s="122"/>
      <c r="AR402" s="122"/>
    </row>
    <row r="403" spans="1:44">
      <c r="A403" s="75">
        <v>402</v>
      </c>
      <c r="B403" s="23">
        <v>2016</v>
      </c>
      <c r="C403" s="117" t="s">
        <v>138</v>
      </c>
      <c r="D403" s="9" t="s">
        <v>108</v>
      </c>
      <c r="E403" s="9" t="s">
        <v>17</v>
      </c>
      <c r="F403" s="9" t="s">
        <v>37</v>
      </c>
      <c r="G403" s="9" t="s">
        <v>48</v>
      </c>
      <c r="H403" s="17">
        <v>42522.368055555555</v>
      </c>
      <c r="I403" s="17">
        <v>42522</v>
      </c>
      <c r="J403" s="18"/>
      <c r="K403" s="1">
        <v>80.599999999999994</v>
      </c>
      <c r="L403" s="1">
        <v>45.9</v>
      </c>
      <c r="M403" s="125">
        <v>1.5</v>
      </c>
      <c r="N403" s="1">
        <v>378.8</v>
      </c>
      <c r="O403" s="1">
        <v>4.7</v>
      </c>
      <c r="P403" s="122">
        <f>AJ403*1000*AN403/100</f>
        <v>407.27272727272725</v>
      </c>
      <c r="Q403" s="122">
        <f>N403*P403/1000</f>
        <v>154.27490909090909</v>
      </c>
      <c r="R403" s="122">
        <f>K403*P403/1000</f>
        <v>32.826181818181816</v>
      </c>
      <c r="S403" s="122"/>
      <c r="T403" s="122">
        <f>AJ403*AN403*N403*0.01</f>
        <v>154.27490909090909</v>
      </c>
      <c r="U403" s="122">
        <f>AJ403*AN403*K403*0.01</f>
        <v>32.826181818181816</v>
      </c>
      <c r="V403" s="123"/>
      <c r="W403" s="122"/>
      <c r="X403" s="122"/>
      <c r="Y403" s="122"/>
      <c r="Z403" s="122"/>
      <c r="AA403" s="1"/>
      <c r="AB403" s="1"/>
      <c r="AC403" s="1"/>
      <c r="AD403" s="1"/>
      <c r="AE403" s="1"/>
      <c r="AF403" s="1"/>
      <c r="AG403" s="124">
        <v>2.2000000000000002</v>
      </c>
      <c r="AH403" s="149">
        <f>AG403*AJ403</f>
        <v>56</v>
      </c>
      <c r="AI403" s="1"/>
      <c r="AJ403" s="125">
        <v>25.454545454545453</v>
      </c>
      <c r="AK403" s="1" t="s">
        <v>5</v>
      </c>
      <c r="AL403" s="122"/>
      <c r="AM403" s="122"/>
      <c r="AN403" s="1">
        <v>1.6</v>
      </c>
      <c r="AO403" s="122"/>
      <c r="AP403" s="1">
        <v>28.44</v>
      </c>
      <c r="AQ403" s="1">
        <v>96.25</v>
      </c>
      <c r="AR403" s="1">
        <v>8.08</v>
      </c>
    </row>
    <row r="404" spans="1:44">
      <c r="A404" s="75">
        <v>403</v>
      </c>
      <c r="B404" s="23">
        <v>2016</v>
      </c>
      <c r="C404" s="117" t="s">
        <v>138</v>
      </c>
      <c r="D404" s="9" t="s">
        <v>108</v>
      </c>
      <c r="E404" s="9" t="s">
        <v>25</v>
      </c>
      <c r="F404" s="9" t="s">
        <v>35</v>
      </c>
      <c r="G404" s="9" t="s">
        <v>36</v>
      </c>
      <c r="H404" s="17">
        <v>42555.458333333336</v>
      </c>
      <c r="I404" s="17">
        <v>42555</v>
      </c>
      <c r="J404" s="11">
        <v>2</v>
      </c>
      <c r="K404" s="122"/>
      <c r="L404" s="122"/>
      <c r="M404" s="122"/>
      <c r="N404" s="122"/>
      <c r="O404" s="122"/>
      <c r="P404" s="122"/>
      <c r="Q404" s="122"/>
      <c r="R404" s="122"/>
      <c r="S404" s="122">
        <f>AJ404*AN404</f>
        <v>882.9545454545455</v>
      </c>
      <c r="T404" s="122"/>
      <c r="U404" s="122"/>
      <c r="V404" s="1">
        <v>1053.8399999999999</v>
      </c>
      <c r="W404" s="122">
        <v>0.43118524299706695</v>
      </c>
      <c r="X404" s="1">
        <v>1.6921031151067429E-2</v>
      </c>
      <c r="Y404" s="126">
        <f>$V404*W404</f>
        <v>454.40025648002899</v>
      </c>
      <c r="Z404" s="1">
        <v>17.832059468240899</v>
      </c>
      <c r="AA404" s="1">
        <v>237.173964282198</v>
      </c>
      <c r="AB404" s="1">
        <v>113.071316952929</v>
      </c>
      <c r="AC404" s="1">
        <v>2.17166151719334</v>
      </c>
      <c r="AD404" s="1">
        <f>AA404/SQRT(10)</f>
        <v>75.00099288231678</v>
      </c>
      <c r="AE404" s="1">
        <f>AB404/SQRT(10)</f>
        <v>35.756289960606551</v>
      </c>
      <c r="AF404" s="1">
        <f>AC404/SQRT(10)</f>
        <v>0.68673967012678672</v>
      </c>
      <c r="AG404" s="124">
        <v>2.2000000000000002</v>
      </c>
      <c r="AH404" s="149">
        <v>52.5</v>
      </c>
      <c r="AI404" s="149"/>
      <c r="AJ404" s="122">
        <f>AH404/AG404</f>
        <v>23.863636363636363</v>
      </c>
      <c r="AK404" s="1" t="s">
        <v>83</v>
      </c>
      <c r="AL404" s="122"/>
      <c r="AM404" s="122"/>
      <c r="AN404" s="122">
        <v>37</v>
      </c>
      <c r="AO404" s="122"/>
      <c r="AP404" s="122"/>
      <c r="AQ404" s="122"/>
      <c r="AR404" s="122"/>
    </row>
    <row r="405" spans="1:44">
      <c r="A405" s="75">
        <v>404</v>
      </c>
      <c r="B405" s="23">
        <v>2016</v>
      </c>
      <c r="C405" s="117" t="s">
        <v>138</v>
      </c>
      <c r="D405" s="9" t="s">
        <v>108</v>
      </c>
      <c r="E405" s="9" t="s">
        <v>17</v>
      </c>
      <c r="F405" s="9" t="s">
        <v>37</v>
      </c>
      <c r="G405" s="9" t="s">
        <v>48</v>
      </c>
      <c r="H405" s="17">
        <v>42567.388888888891</v>
      </c>
      <c r="I405" s="17">
        <v>42567</v>
      </c>
      <c r="K405" s="1">
        <v>71.2</v>
      </c>
      <c r="L405" s="1">
        <v>49.8</v>
      </c>
      <c r="M405" s="125" t="s">
        <v>62</v>
      </c>
      <c r="N405" s="1">
        <v>398.9</v>
      </c>
      <c r="O405" s="1">
        <v>5.6</v>
      </c>
      <c r="P405" s="122">
        <f>AJ405*1000*AN405/100</f>
        <v>687.27272727272725</v>
      </c>
      <c r="Q405" s="122">
        <f>N405*P405/1000</f>
        <v>274.15309090909091</v>
      </c>
      <c r="R405" s="122">
        <f>K405*P405/1000</f>
        <v>48.933818181818182</v>
      </c>
      <c r="S405" s="150"/>
      <c r="T405" s="122">
        <f>AJ405*AN405*N405*0.01</f>
        <v>274.15309090909085</v>
      </c>
      <c r="U405" s="122">
        <f>AJ405*AN405*K405*0.01</f>
        <v>48.933818181818182</v>
      </c>
      <c r="V405" s="123"/>
      <c r="W405" s="122"/>
      <c r="X405" s="122"/>
      <c r="Y405" s="122"/>
      <c r="Z405" s="122"/>
      <c r="AA405" s="1"/>
      <c r="AB405" s="1"/>
      <c r="AC405" s="1"/>
      <c r="AD405" s="1"/>
      <c r="AE405" s="1"/>
      <c r="AF405" s="1"/>
      <c r="AG405" s="124">
        <v>2.2000000000000002</v>
      </c>
      <c r="AH405" s="151">
        <f>AG405*AJ405</f>
        <v>54</v>
      </c>
      <c r="AI405" s="1"/>
      <c r="AJ405" s="125">
        <v>24.545454545454543</v>
      </c>
      <c r="AK405" s="1" t="s">
        <v>5</v>
      </c>
      <c r="AL405" s="150"/>
      <c r="AM405" s="150"/>
      <c r="AN405" s="1">
        <v>2.8</v>
      </c>
      <c r="AO405" s="122"/>
      <c r="AP405" s="1">
        <v>27.4</v>
      </c>
      <c r="AQ405" s="1">
        <v>80.11</v>
      </c>
      <c r="AR405" s="1">
        <v>7.99</v>
      </c>
    </row>
    <row r="406" spans="1:44">
      <c r="A406" s="75">
        <v>405</v>
      </c>
      <c r="B406" s="23">
        <v>2016</v>
      </c>
      <c r="C406" s="117" t="s">
        <v>138</v>
      </c>
      <c r="D406" s="9" t="s">
        <v>108</v>
      </c>
      <c r="E406" s="9" t="s">
        <v>25</v>
      </c>
      <c r="F406" s="9" t="s">
        <v>35</v>
      </c>
      <c r="G406" s="33" t="s">
        <v>45</v>
      </c>
      <c r="H406" s="17">
        <v>42595.340277777781</v>
      </c>
      <c r="I406" s="17">
        <v>42595</v>
      </c>
      <c r="J406" s="11">
        <v>3</v>
      </c>
      <c r="K406" s="122"/>
      <c r="L406" s="122"/>
      <c r="M406" s="122"/>
      <c r="N406" s="122"/>
      <c r="O406" s="122"/>
      <c r="P406" s="122"/>
      <c r="Q406" s="122"/>
      <c r="R406" s="122"/>
      <c r="S406" s="122">
        <f>AJ406*AN406</f>
        <v>2052.272727272727</v>
      </c>
      <c r="T406" s="122"/>
      <c r="U406" s="122"/>
      <c r="V406" s="1">
        <v>1476.9</v>
      </c>
      <c r="W406" s="122">
        <v>0.42618395928305636</v>
      </c>
      <c r="X406" s="1">
        <v>2.5866749362373553E-2</v>
      </c>
      <c r="Y406" s="126">
        <f>$V406*W406</f>
        <v>629.43108946514599</v>
      </c>
      <c r="Z406" s="1">
        <v>38.202602133289503</v>
      </c>
      <c r="AA406" s="1">
        <v>262.44722220752197</v>
      </c>
      <c r="AB406" s="1">
        <v>108.03572494315399</v>
      </c>
      <c r="AC406" s="1">
        <v>8.9537886523449508</v>
      </c>
      <c r="AD406" s="1">
        <f>AA406/SQRT(10)</f>
        <v>82.993098776009333</v>
      </c>
      <c r="AE406" s="1">
        <f>AB406/SQRT(10)</f>
        <v>34.163895948783164</v>
      </c>
      <c r="AF406" s="1">
        <f>AC406/SQRT(10)</f>
        <v>2.8314365829179575</v>
      </c>
      <c r="AG406" s="124">
        <v>2.2000000000000002</v>
      </c>
      <c r="AH406" s="149">
        <v>52.5</v>
      </c>
      <c r="AI406" s="149"/>
      <c r="AJ406" s="122">
        <f>AH406/AG406</f>
        <v>23.863636363636363</v>
      </c>
      <c r="AK406" s="1" t="s">
        <v>83</v>
      </c>
      <c r="AL406" s="122"/>
      <c r="AM406" s="122"/>
      <c r="AN406" s="122">
        <v>86</v>
      </c>
      <c r="AO406" s="122"/>
      <c r="AP406" s="122"/>
      <c r="AQ406" s="122"/>
      <c r="AR406" s="122"/>
    </row>
    <row r="407" spans="1:44">
      <c r="A407" s="75">
        <v>406</v>
      </c>
      <c r="B407" s="23">
        <v>2016</v>
      </c>
      <c r="C407" s="117" t="s">
        <v>138</v>
      </c>
      <c r="D407" s="9" t="s">
        <v>108</v>
      </c>
      <c r="E407" s="9" t="s">
        <v>17</v>
      </c>
      <c r="F407" s="9" t="s">
        <v>37</v>
      </c>
      <c r="G407" s="9" t="s">
        <v>48</v>
      </c>
      <c r="H407" s="17">
        <v>42599.256944444445</v>
      </c>
      <c r="I407" s="17">
        <v>42599</v>
      </c>
      <c r="K407" s="1">
        <v>110</v>
      </c>
      <c r="L407" s="1">
        <v>60.3</v>
      </c>
      <c r="M407" s="125" t="s">
        <v>62</v>
      </c>
      <c r="N407" s="1">
        <v>388.4</v>
      </c>
      <c r="O407" s="1">
        <v>3.54</v>
      </c>
      <c r="P407" s="122">
        <f>AJ407*1000*AN407/100</f>
        <v>370.90909090909088</v>
      </c>
      <c r="Q407" s="122">
        <f>N407*P407/1000</f>
        <v>144.06109090909089</v>
      </c>
      <c r="R407" s="122">
        <f>K407*P407/1000</f>
        <v>40.799999999999997</v>
      </c>
      <c r="S407" s="122"/>
      <c r="T407" s="122">
        <f>AJ407*AN407*N407*0.01</f>
        <v>144.06109090909089</v>
      </c>
      <c r="U407" s="122">
        <f>AJ407*AN407*K407*0.01</f>
        <v>40.799999999999997</v>
      </c>
      <c r="V407" s="123"/>
      <c r="W407" s="122"/>
      <c r="X407" s="122"/>
      <c r="Y407" s="122"/>
      <c r="Z407" s="122"/>
      <c r="AA407" s="1"/>
      <c r="AB407" s="1"/>
      <c r="AC407" s="1"/>
      <c r="AD407" s="1"/>
      <c r="AE407" s="1"/>
      <c r="AF407" s="1"/>
      <c r="AG407" s="124">
        <v>2.2000000000000002</v>
      </c>
      <c r="AH407" s="149">
        <f>AG407*AJ407</f>
        <v>51</v>
      </c>
      <c r="AI407" s="1"/>
      <c r="AJ407" s="125">
        <v>23.18181818181818</v>
      </c>
      <c r="AK407" s="1" t="s">
        <v>5</v>
      </c>
      <c r="AL407" s="122"/>
      <c r="AM407" s="122"/>
      <c r="AN407" s="1">
        <v>1.6</v>
      </c>
      <c r="AO407" s="122"/>
      <c r="AP407" s="1">
        <v>31.39</v>
      </c>
      <c r="AQ407" s="1">
        <v>87.74</v>
      </c>
      <c r="AR407" s="1">
        <v>9.15</v>
      </c>
    </row>
    <row r="408" spans="1:44">
      <c r="A408" s="75">
        <v>407</v>
      </c>
      <c r="B408" s="23">
        <v>2016</v>
      </c>
      <c r="C408" s="117" t="s">
        <v>138</v>
      </c>
      <c r="D408" s="9" t="s">
        <v>108</v>
      </c>
      <c r="E408" s="9" t="s">
        <v>25</v>
      </c>
      <c r="F408" s="9" t="s">
        <v>35</v>
      </c>
      <c r="G408" s="34" t="s">
        <v>36</v>
      </c>
      <c r="H408" s="17">
        <v>42635.548611111109</v>
      </c>
      <c r="I408" s="17">
        <v>42635</v>
      </c>
      <c r="J408" s="11">
        <v>4</v>
      </c>
      <c r="K408" s="122"/>
      <c r="L408" s="122"/>
      <c r="M408" s="122"/>
      <c r="N408" s="122"/>
      <c r="O408" s="122"/>
      <c r="P408" s="122"/>
      <c r="Q408" s="122"/>
      <c r="R408" s="122"/>
      <c r="S408" s="122">
        <f>AJ408*AN408</f>
        <v>908.18181818181813</v>
      </c>
      <c r="T408" s="122"/>
      <c r="U408" s="122"/>
      <c r="V408" s="1">
        <v>1789.2</v>
      </c>
      <c r="W408" s="122">
        <v>0.43900455129556615</v>
      </c>
      <c r="X408" s="1">
        <v>2.6688924542717637E-2</v>
      </c>
      <c r="Y408" s="126">
        <f>$V408*W408</f>
        <v>785.46694317802701</v>
      </c>
      <c r="Z408" s="1">
        <v>47.751823791830397</v>
      </c>
      <c r="AA408" s="1">
        <v>256.18951318636499</v>
      </c>
      <c r="AB408" s="1">
        <v>129.58236792991599</v>
      </c>
      <c r="AC408" s="1">
        <v>8.1365712861905699</v>
      </c>
      <c r="AD408" s="1">
        <f>AA408/SQRT(10)</f>
        <v>81.014237431865439</v>
      </c>
      <c r="AE408" s="1">
        <f>AB408/SQRT(10)</f>
        <v>40.977542725649272</v>
      </c>
      <c r="AF408" s="1">
        <f>AC408/SQRT(10)</f>
        <v>2.5730097608687936</v>
      </c>
      <c r="AG408" s="124">
        <v>2.2000000000000002</v>
      </c>
      <c r="AH408" s="149">
        <v>54</v>
      </c>
      <c r="AI408" s="149"/>
      <c r="AJ408" s="122">
        <f>AH408/AG408</f>
        <v>24.545454545454543</v>
      </c>
      <c r="AK408" s="1" t="s">
        <v>83</v>
      </c>
      <c r="AL408" s="122"/>
      <c r="AM408" s="122"/>
      <c r="AN408" s="122">
        <v>37</v>
      </c>
      <c r="AO408" s="122"/>
      <c r="AP408" s="122"/>
      <c r="AQ408" s="122"/>
      <c r="AR408" s="122"/>
    </row>
    <row r="409" spans="1:44">
      <c r="A409" s="75">
        <v>408</v>
      </c>
      <c r="B409" s="23">
        <v>2016</v>
      </c>
      <c r="C409" s="117" t="s">
        <v>138</v>
      </c>
      <c r="D409" s="9" t="s">
        <v>108</v>
      </c>
      <c r="E409" s="9" t="s">
        <v>17</v>
      </c>
      <c r="F409" s="9" t="s">
        <v>37</v>
      </c>
      <c r="G409" s="9" t="s">
        <v>48</v>
      </c>
      <c r="H409" s="17">
        <v>42643.395833333336</v>
      </c>
      <c r="I409" s="17">
        <v>42643</v>
      </c>
      <c r="K409" s="1">
        <v>103</v>
      </c>
      <c r="L409" s="1">
        <v>55</v>
      </c>
      <c r="M409" s="125" t="s">
        <v>62</v>
      </c>
      <c r="N409" s="1">
        <v>385.3</v>
      </c>
      <c r="O409" s="1">
        <v>3.72</v>
      </c>
      <c r="P409" s="122">
        <f>AJ409*1000*AN409/100</f>
        <v>321.81818181818176</v>
      </c>
      <c r="Q409" s="122">
        <f>N409*P409/1000</f>
        <v>123.99654545454544</v>
      </c>
      <c r="R409" s="122">
        <f>K409*P409/1000</f>
        <v>33.147272727272721</v>
      </c>
      <c r="S409" s="122"/>
      <c r="T409" s="122">
        <f>AJ409*AN409*N409*0.01</f>
        <v>123.99654545454545</v>
      </c>
      <c r="U409" s="122">
        <f>AJ409*AN409*K409*0.01</f>
        <v>33.147272727272728</v>
      </c>
      <c r="V409" s="123"/>
      <c r="W409" s="122"/>
      <c r="X409" s="122"/>
      <c r="Y409" s="122"/>
      <c r="Z409" s="122"/>
      <c r="AA409" s="1"/>
      <c r="AB409" s="1"/>
      <c r="AC409" s="1"/>
      <c r="AD409" s="1"/>
      <c r="AE409" s="1"/>
      <c r="AF409" s="1"/>
      <c r="AG409" s="124">
        <v>2.2000000000000002</v>
      </c>
      <c r="AH409" s="149">
        <f>AG409*AJ409</f>
        <v>59</v>
      </c>
      <c r="AI409" s="152"/>
      <c r="AJ409" s="125">
        <v>26.818181818181817</v>
      </c>
      <c r="AK409" s="1" t="s">
        <v>5</v>
      </c>
      <c r="AL409" s="122"/>
      <c r="AM409" s="122"/>
      <c r="AN409" s="1">
        <v>1.2</v>
      </c>
      <c r="AO409" s="122"/>
      <c r="AP409" s="1">
        <v>31.72</v>
      </c>
      <c r="AQ409" s="1">
        <v>96.71</v>
      </c>
      <c r="AR409" s="1">
        <v>9.49</v>
      </c>
    </row>
    <row r="410" spans="1:44">
      <c r="A410" s="75">
        <v>409</v>
      </c>
      <c r="B410" s="23">
        <v>2016</v>
      </c>
      <c r="C410" s="117" t="s">
        <v>138</v>
      </c>
      <c r="D410" s="9" t="s">
        <v>108</v>
      </c>
      <c r="E410" s="9" t="s">
        <v>25</v>
      </c>
      <c r="F410" s="9" t="s">
        <v>29</v>
      </c>
      <c r="G410" s="1" t="s">
        <v>47</v>
      </c>
      <c r="H410" s="17">
        <v>42696.715277777781</v>
      </c>
      <c r="I410" s="17">
        <v>42704.715277777781</v>
      </c>
      <c r="K410" s="122"/>
      <c r="L410" s="122"/>
      <c r="M410" s="122"/>
      <c r="N410" s="122"/>
      <c r="O410" s="122"/>
      <c r="P410" s="122"/>
      <c r="Q410" s="122"/>
      <c r="R410" s="122"/>
      <c r="S410" s="125">
        <f>AL410*AJ410*AM410</f>
        <v>66.122448979591837</v>
      </c>
      <c r="T410" s="122">
        <f>$S410*W410</f>
        <v>26.865386540029707</v>
      </c>
      <c r="U410" s="122">
        <f>$S410*X410</f>
        <v>1.4483688260613305</v>
      </c>
      <c r="V410" s="1">
        <v>750.82</v>
      </c>
      <c r="W410" s="122">
        <v>0.40629751248810358</v>
      </c>
      <c r="X410" s="122">
        <v>2.190434335710037E-2</v>
      </c>
      <c r="Y410" s="126">
        <f>$V410*W410</f>
        <v>305.05629832631797</v>
      </c>
      <c r="Z410" s="1">
        <v>16.4462190793781</v>
      </c>
      <c r="AA410" s="1">
        <v>189.38857410097401</v>
      </c>
      <c r="AB410" s="1">
        <v>70.592677453039798</v>
      </c>
      <c r="AC410" s="1">
        <v>3.6737081969062602</v>
      </c>
      <c r="AD410" s="1">
        <f t="shared" ref="AD410:AF411" si="17">AA410/SQRT(10)</f>
        <v>59.889925697065379</v>
      </c>
      <c r="AE410" s="1">
        <f t="shared" si="17"/>
        <v>22.323364688121977</v>
      </c>
      <c r="AF410" s="1">
        <f t="shared" si="17"/>
        <v>1.1617285361054124</v>
      </c>
      <c r="AG410" s="124">
        <v>2.2000000000000002</v>
      </c>
      <c r="AH410" s="153">
        <v>27</v>
      </c>
      <c r="AI410" s="146"/>
      <c r="AJ410" s="124">
        <f>27/4.9</f>
        <v>5.5102040816326525</v>
      </c>
      <c r="AK410" s="1" t="s">
        <v>66</v>
      </c>
      <c r="AL410" s="122">
        <v>8</v>
      </c>
      <c r="AM410" s="122">
        <v>1.5</v>
      </c>
      <c r="AN410" s="122"/>
      <c r="AO410" s="122"/>
      <c r="AP410" s="122"/>
      <c r="AQ410" s="122"/>
      <c r="AR410" s="122"/>
    </row>
    <row r="411" spans="1:44">
      <c r="A411" s="75">
        <v>410</v>
      </c>
      <c r="B411" s="23">
        <v>2016</v>
      </c>
      <c r="C411" s="118" t="s">
        <v>139</v>
      </c>
      <c r="D411" s="9" t="s">
        <v>108</v>
      </c>
      <c r="E411" s="9" t="s">
        <v>25</v>
      </c>
      <c r="F411" s="9" t="s">
        <v>29</v>
      </c>
      <c r="G411" s="9" t="s">
        <v>47</v>
      </c>
      <c r="H411" s="17">
        <v>42395.416666666664</v>
      </c>
      <c r="I411" s="17">
        <v>42410.4375</v>
      </c>
      <c r="J411" s="18"/>
      <c r="K411" s="122"/>
      <c r="L411" s="122"/>
      <c r="M411" s="122"/>
      <c r="N411" s="122"/>
      <c r="O411" s="122"/>
      <c r="P411" s="122"/>
      <c r="Q411" s="122"/>
      <c r="R411" s="122"/>
      <c r="S411" s="125">
        <f>AL411*AJ411*AM411</f>
        <v>124.15178571430575</v>
      </c>
      <c r="T411" s="122">
        <f>$S411*W411</f>
        <v>53.864606310113608</v>
      </c>
      <c r="U411" s="122">
        <f>$S411*X411</f>
        <v>4.1128636862760235</v>
      </c>
      <c r="V411" s="1">
        <v>563.20000000000005</v>
      </c>
      <c r="W411" s="122">
        <v>0.43386090663299176</v>
      </c>
      <c r="X411" s="1">
        <v>3.3127704628755146E-2</v>
      </c>
      <c r="Y411" s="126">
        <f>$V411*W411</f>
        <v>244.35046261570099</v>
      </c>
      <c r="Z411" s="1">
        <v>18.657523246914899</v>
      </c>
      <c r="AA411" s="1">
        <v>96.952849365039299</v>
      </c>
      <c r="AB411" s="1">
        <v>42.136790750798497</v>
      </c>
      <c r="AC411" s="1">
        <v>4.2432480639557797</v>
      </c>
      <c r="AD411" s="1">
        <f t="shared" si="17"/>
        <v>30.659182963673381</v>
      </c>
      <c r="AE411" s="1">
        <f t="shared" si="17"/>
        <v>13.324823206243966</v>
      </c>
      <c r="AF411" s="1">
        <f t="shared" si="17"/>
        <v>1.3418328559200088</v>
      </c>
      <c r="AG411" s="124">
        <v>2.7</v>
      </c>
      <c r="AH411" s="153">
        <v>27</v>
      </c>
      <c r="AI411" s="146"/>
      <c r="AJ411" s="124">
        <f>27/4.9</f>
        <v>5.5102040816326525</v>
      </c>
      <c r="AK411" s="1" t="s">
        <v>66</v>
      </c>
      <c r="AL411" s="122">
        <f>I411-H411</f>
        <v>15.020833333335759</v>
      </c>
      <c r="AM411" s="122">
        <v>1.5</v>
      </c>
      <c r="AN411" s="122"/>
      <c r="AO411" s="122"/>
      <c r="AP411" s="122"/>
      <c r="AQ411" s="122"/>
      <c r="AR411" s="122"/>
    </row>
    <row r="412" spans="1:44">
      <c r="A412" s="75">
        <v>411</v>
      </c>
      <c r="B412" s="23">
        <v>2016</v>
      </c>
      <c r="C412" s="118" t="s">
        <v>139</v>
      </c>
      <c r="D412" s="9" t="s">
        <v>108</v>
      </c>
      <c r="E412" s="9" t="s">
        <v>24</v>
      </c>
      <c r="F412" s="9" t="s">
        <v>30</v>
      </c>
      <c r="G412" s="9" t="s">
        <v>127</v>
      </c>
      <c r="H412" s="17">
        <v>42466.5625</v>
      </c>
      <c r="I412" s="17">
        <v>42466.5625</v>
      </c>
      <c r="K412" s="122"/>
      <c r="L412" s="122"/>
      <c r="M412" s="122"/>
      <c r="N412" s="122"/>
      <c r="O412" s="122"/>
      <c r="P412" s="122"/>
      <c r="Q412" s="122"/>
      <c r="R412" s="122"/>
      <c r="S412" s="125"/>
      <c r="T412" s="122"/>
      <c r="U412" s="122"/>
      <c r="V412" s="1"/>
      <c r="W412" s="122"/>
      <c r="X412" s="122"/>
      <c r="Y412" s="1"/>
      <c r="Z412" s="1"/>
      <c r="AA412" s="1"/>
      <c r="AB412" s="1"/>
      <c r="AC412" s="1"/>
      <c r="AD412" s="1"/>
      <c r="AE412" s="1"/>
      <c r="AF412" s="1"/>
      <c r="AG412" s="124">
        <v>2.7</v>
      </c>
      <c r="AH412" s="153"/>
      <c r="AI412" s="146"/>
      <c r="AJ412" s="124"/>
      <c r="AL412" s="122"/>
      <c r="AM412" s="122"/>
      <c r="AN412" s="122"/>
      <c r="AO412" s="122"/>
      <c r="AP412" s="122"/>
      <c r="AQ412" s="122"/>
      <c r="AR412" s="122"/>
    </row>
    <row r="413" spans="1:44">
      <c r="A413" s="75">
        <v>412</v>
      </c>
      <c r="B413" s="23">
        <v>2016</v>
      </c>
      <c r="C413" s="118" t="s">
        <v>139</v>
      </c>
      <c r="D413" s="9" t="s">
        <v>108</v>
      </c>
      <c r="E413" s="9" t="s">
        <v>23</v>
      </c>
      <c r="F413" s="9" t="s">
        <v>38</v>
      </c>
      <c r="G413" s="1" t="s">
        <v>185</v>
      </c>
      <c r="H413" s="17">
        <v>42466.5625</v>
      </c>
      <c r="I413" s="17">
        <v>42466.5625</v>
      </c>
      <c r="J413" s="18"/>
      <c r="K413" s="122"/>
      <c r="L413" s="122"/>
      <c r="M413" s="122"/>
      <c r="N413" s="122"/>
      <c r="O413" s="122"/>
      <c r="P413" s="122"/>
      <c r="Q413" s="122"/>
      <c r="R413" s="122"/>
      <c r="S413" s="122"/>
      <c r="T413" s="122"/>
      <c r="U413" s="122"/>
      <c r="V413" s="126"/>
      <c r="W413" s="122"/>
      <c r="X413" s="122"/>
      <c r="Y413" s="122"/>
      <c r="Z413" s="122"/>
      <c r="AA413" s="1"/>
      <c r="AB413" s="1"/>
      <c r="AC413" s="1"/>
      <c r="AD413" s="1"/>
      <c r="AE413" s="1"/>
      <c r="AF413" s="1"/>
      <c r="AG413" s="124">
        <v>2.7</v>
      </c>
      <c r="AH413" s="1"/>
      <c r="AI413" s="1"/>
      <c r="AJ413" s="122">
        <v>20</v>
      </c>
      <c r="AK413" s="1" t="s">
        <v>3</v>
      </c>
      <c r="AL413" s="122"/>
      <c r="AM413" s="122"/>
      <c r="AN413" s="122"/>
      <c r="AO413" s="1"/>
      <c r="AP413" s="122"/>
      <c r="AQ413" s="122"/>
      <c r="AR413" s="122"/>
    </row>
    <row r="414" spans="1:44">
      <c r="A414" s="75">
        <v>413</v>
      </c>
      <c r="B414" s="23">
        <v>2016</v>
      </c>
      <c r="C414" s="118" t="s">
        <v>139</v>
      </c>
      <c r="D414" s="9" t="s">
        <v>108</v>
      </c>
      <c r="E414" s="9" t="s">
        <v>25</v>
      </c>
      <c r="F414" s="4" t="s">
        <v>35</v>
      </c>
      <c r="G414" s="9" t="s">
        <v>45</v>
      </c>
      <c r="H414" s="17">
        <v>42515.548611111109</v>
      </c>
      <c r="I414" s="17">
        <v>42516</v>
      </c>
      <c r="J414" s="11">
        <v>1</v>
      </c>
      <c r="K414" s="122"/>
      <c r="L414" s="122"/>
      <c r="M414" s="122"/>
      <c r="N414" s="122"/>
      <c r="O414" s="122"/>
      <c r="P414" s="122"/>
      <c r="Q414" s="122"/>
      <c r="R414" s="122"/>
      <c r="S414" s="122">
        <f>AJ414*AN414</f>
        <v>5733.3333333333321</v>
      </c>
      <c r="T414" s="122">
        <f>$S414*W414</f>
        <v>2471.8891565993822</v>
      </c>
      <c r="U414" s="122">
        <f t="shared" ref="U414:U417" si="18">$S414*X414</f>
        <v>103.30191916670934</v>
      </c>
      <c r="V414" s="1">
        <v>4611.0200000000004</v>
      </c>
      <c r="W414" s="122">
        <v>0.43114345754640399</v>
      </c>
      <c r="X414" s="1">
        <v>1.8017776598844657E-2</v>
      </c>
      <c r="Y414" s="126">
        <f>$V414*W414</f>
        <v>1988.01110561562</v>
      </c>
      <c r="Z414" s="1">
        <v>83.080328252804705</v>
      </c>
      <c r="AA414" s="1">
        <v>1194.8915541680799</v>
      </c>
      <c r="AB414" s="1">
        <v>667.27557948078299</v>
      </c>
      <c r="AC414" s="1">
        <v>18.029765902969501</v>
      </c>
      <c r="AD414" s="1">
        <f>AA414/SQRT(10)</f>
        <v>377.85788680695936</v>
      </c>
      <c r="AE414" s="1">
        <f>AB414/SQRT(10)</f>
        <v>211.01106581679898</v>
      </c>
      <c r="AF414" s="1">
        <f t="shared" ref="AD414:AF418" si="19">AC414/SQRT(10)</f>
        <v>5.7015125933026019</v>
      </c>
      <c r="AG414" s="124">
        <v>2.7</v>
      </c>
      <c r="AH414" s="1">
        <v>180</v>
      </c>
      <c r="AI414" s="1"/>
      <c r="AJ414" s="124">
        <f>AH414/AG414</f>
        <v>66.666666666666657</v>
      </c>
      <c r="AK414" s="1" t="s">
        <v>83</v>
      </c>
      <c r="AL414" s="122"/>
      <c r="AM414" s="122"/>
      <c r="AN414" s="122">
        <v>86</v>
      </c>
      <c r="AO414" s="122"/>
      <c r="AP414" s="122"/>
      <c r="AQ414" s="122"/>
      <c r="AR414" s="122"/>
    </row>
    <row r="415" spans="1:44">
      <c r="A415" s="75">
        <v>414</v>
      </c>
      <c r="B415" s="23">
        <v>2016</v>
      </c>
      <c r="C415" s="118" t="s">
        <v>139</v>
      </c>
      <c r="D415" s="9" t="s">
        <v>108</v>
      </c>
      <c r="E415" s="9" t="s">
        <v>25</v>
      </c>
      <c r="F415" s="9" t="s">
        <v>35</v>
      </c>
      <c r="G415" s="9" t="s">
        <v>36</v>
      </c>
      <c r="H415" s="17">
        <v>42555.458333333336</v>
      </c>
      <c r="I415" s="17">
        <v>42555</v>
      </c>
      <c r="J415" s="11">
        <v>2</v>
      </c>
      <c r="K415" s="122"/>
      <c r="L415" s="122"/>
      <c r="M415" s="122"/>
      <c r="N415" s="122"/>
      <c r="O415" s="122"/>
      <c r="P415" s="122"/>
      <c r="Q415" s="122"/>
      <c r="R415" s="122"/>
      <c r="S415" s="122">
        <f>AJ415*AN415</f>
        <v>822.22222222222217</v>
      </c>
      <c r="T415" s="122">
        <f>$S415*W415</f>
        <v>354.88367375105793</v>
      </c>
      <c r="U415" s="122">
        <f t="shared" si="18"/>
        <v>18.590053895855799</v>
      </c>
      <c r="V415" s="1">
        <v>1909.83</v>
      </c>
      <c r="W415" s="122">
        <v>0.43161527888642182</v>
      </c>
      <c r="X415" s="1">
        <v>2.2609525008473269E-2</v>
      </c>
      <c r="Y415" s="126">
        <f>$V415*W415</f>
        <v>824.31180807565499</v>
      </c>
      <c r="Z415" s="1">
        <v>43.1803491469325</v>
      </c>
      <c r="AA415" s="1">
        <v>619.99377425189596</v>
      </c>
      <c r="AB415" s="1">
        <v>161.106051109329</v>
      </c>
      <c r="AC415" s="1">
        <v>5.1514629882835399</v>
      </c>
      <c r="AD415" s="1">
        <f t="shared" si="19"/>
        <v>196.05924617602477</v>
      </c>
      <c r="AE415" s="1">
        <f t="shared" si="19"/>
        <v>50.946206634097621</v>
      </c>
      <c r="AF415" s="1">
        <f t="shared" si="19"/>
        <v>1.6290356325033279</v>
      </c>
      <c r="AG415" s="124">
        <v>2.7</v>
      </c>
      <c r="AH415" s="1">
        <v>60</v>
      </c>
      <c r="AI415" s="1"/>
      <c r="AJ415" s="124">
        <f>AH415/AG415</f>
        <v>22.222222222222221</v>
      </c>
      <c r="AK415" s="1" t="s">
        <v>83</v>
      </c>
      <c r="AL415" s="122"/>
      <c r="AM415" s="122"/>
      <c r="AN415" s="122">
        <v>37</v>
      </c>
      <c r="AO415" s="122"/>
      <c r="AP415" s="122"/>
      <c r="AQ415" s="122"/>
      <c r="AR415" s="122"/>
    </row>
    <row r="416" spans="1:44">
      <c r="A416" s="75">
        <v>415</v>
      </c>
      <c r="B416" s="23">
        <v>2016</v>
      </c>
      <c r="C416" s="118" t="s">
        <v>139</v>
      </c>
      <c r="D416" s="9" t="s">
        <v>108</v>
      </c>
      <c r="E416" s="9" t="s">
        <v>25</v>
      </c>
      <c r="F416" s="4" t="s">
        <v>35</v>
      </c>
      <c r="G416" s="1" t="s">
        <v>45</v>
      </c>
      <c r="H416" s="17">
        <v>42595.340277777781</v>
      </c>
      <c r="I416" s="17">
        <v>42595</v>
      </c>
      <c r="J416" s="11">
        <v>3</v>
      </c>
      <c r="K416" s="122"/>
      <c r="L416" s="122"/>
      <c r="M416" s="122"/>
      <c r="N416" s="122"/>
      <c r="O416" s="122"/>
      <c r="P416" s="122"/>
      <c r="Q416" s="122"/>
      <c r="R416" s="122"/>
      <c r="S416" s="122">
        <f>AJ416*AN416</f>
        <v>1313.8888888888889</v>
      </c>
      <c r="T416" s="122">
        <f>$S416*W416</f>
        <v>570.2934012964306</v>
      </c>
      <c r="U416" s="122">
        <f t="shared" si="18"/>
        <v>39.845956122751893</v>
      </c>
      <c r="V416" s="1">
        <v>1668.6</v>
      </c>
      <c r="W416" s="122">
        <v>0.434049946018425</v>
      </c>
      <c r="X416" s="1">
        <v>3.0326731932749852E-2</v>
      </c>
      <c r="Y416" s="126">
        <f>$V416*W416</f>
        <v>724.25573992634395</v>
      </c>
      <c r="Z416" s="1">
        <v>50.603184902986399</v>
      </c>
      <c r="AA416" s="1">
        <v>248.60821475656101</v>
      </c>
      <c r="AB416" s="1">
        <v>41.863286310134598</v>
      </c>
      <c r="AC416" s="1">
        <v>3.6088148006520502</v>
      </c>
      <c r="AD416" s="1">
        <f t="shared" si="19"/>
        <v>78.61682036590156</v>
      </c>
      <c r="AE416" s="1">
        <f t="shared" si="19"/>
        <v>13.238333507977137</v>
      </c>
      <c r="AF416" s="1">
        <f t="shared" si="19"/>
        <v>1.141207442378698</v>
      </c>
      <c r="AG416" s="124">
        <v>2.7</v>
      </c>
      <c r="AH416" s="1">
        <v>41.25</v>
      </c>
      <c r="AI416" s="1"/>
      <c r="AJ416" s="124">
        <f>AH416/AG416</f>
        <v>15.277777777777777</v>
      </c>
      <c r="AK416" s="1" t="s">
        <v>83</v>
      </c>
      <c r="AL416" s="122"/>
      <c r="AM416" s="122"/>
      <c r="AN416" s="122">
        <v>86</v>
      </c>
      <c r="AO416" s="122"/>
      <c r="AP416" s="122"/>
      <c r="AQ416" s="122"/>
      <c r="AR416" s="122"/>
    </row>
    <row r="417" spans="1:44">
      <c r="A417" s="75">
        <v>416</v>
      </c>
      <c r="B417" s="23">
        <v>2016</v>
      </c>
      <c r="C417" s="118" t="s">
        <v>139</v>
      </c>
      <c r="D417" s="9" t="s">
        <v>108</v>
      </c>
      <c r="E417" s="9" t="s">
        <v>25</v>
      </c>
      <c r="F417" s="9" t="s">
        <v>35</v>
      </c>
      <c r="G417" s="9" t="s">
        <v>36</v>
      </c>
      <c r="H417" s="17">
        <v>42635.548611111109</v>
      </c>
      <c r="I417" s="17">
        <v>42635</v>
      </c>
      <c r="J417" s="11">
        <v>4</v>
      </c>
      <c r="K417" s="122"/>
      <c r="L417" s="122"/>
      <c r="M417" s="122"/>
      <c r="N417" s="122"/>
      <c r="O417" s="122"/>
      <c r="P417" s="122"/>
      <c r="Q417" s="122"/>
      <c r="R417" s="122"/>
      <c r="S417" s="122">
        <f>AJ417*AN417</f>
        <v>740</v>
      </c>
      <c r="T417" s="122">
        <f>$S417*W417</f>
        <v>336.56793448825084</v>
      </c>
      <c r="U417" s="122">
        <f t="shared" si="18"/>
        <v>23.119381489121483</v>
      </c>
      <c r="V417" s="1">
        <v>1399</v>
      </c>
      <c r="W417" s="122">
        <v>0.45482153309223083</v>
      </c>
      <c r="X417" s="1">
        <v>3.1242407417731734E-2</v>
      </c>
      <c r="Y417" s="126">
        <f>$V417*W417</f>
        <v>636.29532479603097</v>
      </c>
      <c r="Z417" s="1">
        <v>43.708127977406697</v>
      </c>
      <c r="AA417" s="1">
        <v>716.08022517654297</v>
      </c>
      <c r="AB417" s="1">
        <v>178.11810999970101</v>
      </c>
      <c r="AC417" s="1">
        <v>12.308638606110501</v>
      </c>
      <c r="AD417" s="1">
        <f t="shared" si="19"/>
        <v>226.44444989641244</v>
      </c>
      <c r="AE417" s="1">
        <f t="shared" si="19"/>
        <v>56.325892012346849</v>
      </c>
      <c r="AF417" s="1">
        <f t="shared" si="19"/>
        <v>3.8923332891189295</v>
      </c>
      <c r="AG417" s="124">
        <v>2.7</v>
      </c>
      <c r="AH417" s="1">
        <v>54</v>
      </c>
      <c r="AI417" s="1"/>
      <c r="AJ417" s="124">
        <f>AH417/AG417</f>
        <v>20</v>
      </c>
      <c r="AK417" s="1" t="s">
        <v>83</v>
      </c>
      <c r="AL417" s="122"/>
      <c r="AM417" s="122"/>
      <c r="AN417" s="122">
        <v>37</v>
      </c>
      <c r="AO417" s="122"/>
      <c r="AP417" s="122"/>
      <c r="AQ417" s="122"/>
      <c r="AR417" s="122"/>
    </row>
    <row r="418" spans="1:44">
      <c r="A418" s="75">
        <v>417</v>
      </c>
      <c r="B418" s="23">
        <v>2016</v>
      </c>
      <c r="C418" s="118" t="s">
        <v>139</v>
      </c>
      <c r="D418" s="9" t="s">
        <v>108</v>
      </c>
      <c r="E418" s="9" t="s">
        <v>25</v>
      </c>
      <c r="F418" s="9" t="s">
        <v>29</v>
      </c>
      <c r="G418" s="1" t="s">
        <v>47</v>
      </c>
      <c r="H418" s="17">
        <v>42696.715277777781</v>
      </c>
      <c r="I418" s="17">
        <v>42704.715277777781</v>
      </c>
      <c r="K418" s="122"/>
      <c r="L418" s="122"/>
      <c r="M418" s="122"/>
      <c r="N418" s="122"/>
      <c r="O418" s="122"/>
      <c r="P418" s="122"/>
      <c r="Q418" s="122"/>
      <c r="R418" s="122"/>
      <c r="S418" s="125">
        <f>AL418*AJ418*AM418</f>
        <v>66.122448979591837</v>
      </c>
      <c r="T418" s="122">
        <f>$S418*W418</f>
        <v>27.395878923389827</v>
      </c>
      <c r="U418" s="122">
        <f>$S418*X418</f>
        <v>1.8312686450982363</v>
      </c>
      <c r="V418" s="1">
        <v>832.32</v>
      </c>
      <c r="W418" s="122">
        <v>0.41432039112533997</v>
      </c>
      <c r="X418" s="1">
        <v>2.7695112225251103E-2</v>
      </c>
      <c r="Y418" s="126">
        <f>$V418*W418</f>
        <v>344.84714794144298</v>
      </c>
      <c r="Z418" s="1">
        <v>23.051195807321001</v>
      </c>
      <c r="AA418" s="1">
        <v>188.40583058918301</v>
      </c>
      <c r="AB418" s="1">
        <v>81.946370319000195</v>
      </c>
      <c r="AC418" s="1">
        <v>4.02069035737299</v>
      </c>
      <c r="AD418" s="1">
        <f t="shared" si="19"/>
        <v>59.579154911764171</v>
      </c>
      <c r="AE418" s="1">
        <f t="shared" si="19"/>
        <v>25.913717619165944</v>
      </c>
      <c r="AF418" s="1">
        <f t="shared" si="19"/>
        <v>1.2714539295575022</v>
      </c>
      <c r="AG418" s="124">
        <v>2.7</v>
      </c>
      <c r="AH418" s="146">
        <v>27</v>
      </c>
      <c r="AI418" s="146"/>
      <c r="AJ418" s="124">
        <f>27/4.9</f>
        <v>5.5102040816326525</v>
      </c>
      <c r="AK418" s="1" t="s">
        <v>66</v>
      </c>
      <c r="AL418" s="122">
        <v>8</v>
      </c>
      <c r="AM418" s="122">
        <v>1.5</v>
      </c>
      <c r="AN418" s="122"/>
      <c r="AO418" s="122"/>
      <c r="AP418" s="122"/>
      <c r="AQ418" s="122"/>
      <c r="AR418" s="122"/>
    </row>
    <row r="419" spans="1:44">
      <c r="A419" s="75">
        <v>418</v>
      </c>
      <c r="B419" s="94">
        <v>2017</v>
      </c>
      <c r="C419" s="121" t="s">
        <v>138</v>
      </c>
      <c r="D419" s="85" t="s">
        <v>108</v>
      </c>
      <c r="E419" s="85" t="s">
        <v>17</v>
      </c>
      <c r="F419" s="85" t="s">
        <v>37</v>
      </c>
      <c r="G419" s="85" t="s">
        <v>48</v>
      </c>
      <c r="H419" s="17">
        <v>42823</v>
      </c>
      <c r="I419" s="17">
        <v>42823</v>
      </c>
      <c r="J419" s="88"/>
      <c r="K419" s="122">
        <v>61.4</v>
      </c>
      <c r="L419" s="122">
        <v>35</v>
      </c>
      <c r="M419" s="122"/>
      <c r="N419" s="122">
        <v>416.9</v>
      </c>
      <c r="O419" s="122">
        <v>6.78</v>
      </c>
      <c r="P419" s="122">
        <v>1099.090909090909</v>
      </c>
      <c r="Q419" s="122">
        <f>N419*P419/1000</f>
        <v>458.21099999999996</v>
      </c>
      <c r="R419" s="122">
        <v>67.48418181818181</v>
      </c>
      <c r="S419" s="122"/>
      <c r="T419" s="122"/>
      <c r="U419" s="122"/>
      <c r="V419" s="123"/>
      <c r="W419" s="122"/>
      <c r="X419" s="122"/>
      <c r="Y419" s="122"/>
      <c r="Z419" s="122"/>
      <c r="AA419" s="1"/>
      <c r="AB419" s="1"/>
      <c r="AC419" s="1"/>
      <c r="AD419" s="1"/>
      <c r="AE419" s="1"/>
      <c r="AF419" s="24"/>
      <c r="AG419" s="124">
        <v>2.2000000000000002</v>
      </c>
      <c r="AH419" s="1">
        <v>62</v>
      </c>
      <c r="AI419" s="130"/>
      <c r="AJ419" s="124">
        <v>28.18181818181818</v>
      </c>
      <c r="AK419" s="1" t="s">
        <v>5</v>
      </c>
      <c r="AL419" s="122"/>
      <c r="AM419" s="122"/>
      <c r="AN419" s="122">
        <v>3.9</v>
      </c>
      <c r="AO419" s="122"/>
      <c r="AP419" s="122">
        <v>22.7</v>
      </c>
      <c r="AQ419" s="122">
        <v>71.55</v>
      </c>
      <c r="AR419" s="122">
        <v>6.54</v>
      </c>
    </row>
    <row r="420" spans="1:44">
      <c r="A420" s="75">
        <v>419</v>
      </c>
      <c r="B420" s="94">
        <v>2017</v>
      </c>
      <c r="C420" s="121" t="s">
        <v>138</v>
      </c>
      <c r="D420" s="85" t="s">
        <v>108</v>
      </c>
      <c r="E420" s="85" t="s">
        <v>25</v>
      </c>
      <c r="F420" s="85" t="s">
        <v>35</v>
      </c>
      <c r="G420" s="85" t="s">
        <v>36</v>
      </c>
      <c r="H420" s="17">
        <v>42872</v>
      </c>
      <c r="I420" s="17">
        <v>42873</v>
      </c>
      <c r="J420" s="88">
        <v>1</v>
      </c>
      <c r="K420" s="122"/>
      <c r="L420" s="122"/>
      <c r="M420" s="122"/>
      <c r="N420" s="122"/>
      <c r="O420" s="122"/>
      <c r="P420" s="122"/>
      <c r="Q420" s="122"/>
      <c r="R420" s="122"/>
      <c r="S420" s="122" t="str">
        <f>IF(AJ420=0,"",AJ420*AN420)</f>
        <v/>
      </c>
      <c r="T420" s="122"/>
      <c r="U420" s="122"/>
      <c r="V420" s="1">
        <v>7098.1</v>
      </c>
      <c r="W420" s="154">
        <v>0.43185423080364149</v>
      </c>
      <c r="X420" s="154">
        <v>2.2907567967770704E-2</v>
      </c>
      <c r="Y420" s="126">
        <f>$V420*W420</f>
        <v>3065.3445156673279</v>
      </c>
      <c r="Z420" s="126">
        <f>$V420*X420</f>
        <v>162.60020819203325</v>
      </c>
      <c r="AA420" s="1">
        <v>1671.4271646310679</v>
      </c>
      <c r="AB420" s="1">
        <v>441.04909429991511</v>
      </c>
      <c r="AE420" s="131"/>
      <c r="AF420" s="131"/>
      <c r="AG420" s="124">
        <v>2.2000000000000002</v>
      </c>
      <c r="AH420" s="130"/>
      <c r="AI420" s="130"/>
      <c r="AJ420" s="130"/>
      <c r="AL420" s="122"/>
      <c r="AM420" s="122"/>
      <c r="AN420" s="122">
        <v>37</v>
      </c>
      <c r="AO420" s="122"/>
      <c r="AP420" s="122"/>
      <c r="AQ420" s="122"/>
      <c r="AR420" s="122"/>
    </row>
    <row r="421" spans="1:44">
      <c r="A421" s="75">
        <v>420</v>
      </c>
      <c r="B421" s="94">
        <v>2017</v>
      </c>
      <c r="C421" s="121" t="s">
        <v>138</v>
      </c>
      <c r="D421" s="85" t="s">
        <v>108</v>
      </c>
      <c r="E421" s="85" t="s">
        <v>25</v>
      </c>
      <c r="F421" s="85" t="s">
        <v>35</v>
      </c>
      <c r="G421" s="85"/>
      <c r="H421" s="17">
        <v>42906</v>
      </c>
      <c r="I421" s="17">
        <v>42906</v>
      </c>
      <c r="J421" s="88">
        <v>2</v>
      </c>
      <c r="K421" s="122"/>
      <c r="L421" s="122"/>
      <c r="M421" s="122"/>
      <c r="N421" s="122"/>
      <c r="O421" s="122"/>
      <c r="P421" s="122"/>
      <c r="Q421" s="122"/>
      <c r="R421" s="122"/>
      <c r="S421" s="122" t="str">
        <f t="shared" ref="S421:S425" si="20">IF(AJ421=0,"",AJ421*AN421)</f>
        <v/>
      </c>
      <c r="T421" s="122"/>
      <c r="U421" s="122"/>
      <c r="V421" s="1">
        <v>3792.5999999999995</v>
      </c>
      <c r="W421" s="154">
        <v>0.43185423080364149</v>
      </c>
      <c r="X421" s="154">
        <v>2.2907567967770704E-2</v>
      </c>
      <c r="Y421" s="126">
        <f>$V421*W421</f>
        <v>1637.8503557458905</v>
      </c>
      <c r="Z421" s="126">
        <f>$V421*X421</f>
        <v>86.879242274567162</v>
      </c>
      <c r="AA421" s="1">
        <v>582.79731563478549</v>
      </c>
      <c r="AB421" s="1">
        <v>441.04909429991511</v>
      </c>
      <c r="AE421" s="131"/>
      <c r="AF421" s="131"/>
      <c r="AG421" s="124">
        <v>2.2000000000000002</v>
      </c>
      <c r="AH421" s="130"/>
      <c r="AI421" s="130"/>
      <c r="AJ421" s="130"/>
      <c r="AL421" s="122"/>
      <c r="AM421" s="122"/>
      <c r="AN421" s="122">
        <v>37</v>
      </c>
      <c r="AO421" s="122"/>
      <c r="AP421" s="122"/>
      <c r="AQ421" s="122"/>
      <c r="AR421" s="122"/>
    </row>
    <row r="422" spans="1:44">
      <c r="A422" s="75">
        <v>421</v>
      </c>
      <c r="B422" s="94">
        <v>2017</v>
      </c>
      <c r="C422" s="120" t="s">
        <v>138</v>
      </c>
      <c r="D422" s="86" t="s">
        <v>108</v>
      </c>
      <c r="E422" s="85" t="s">
        <v>17</v>
      </c>
      <c r="F422" s="87" t="s">
        <v>37</v>
      </c>
      <c r="G422" s="86" t="s">
        <v>48</v>
      </c>
      <c r="H422" s="17">
        <v>42916</v>
      </c>
      <c r="I422" s="17">
        <v>42916</v>
      </c>
      <c r="J422" s="88"/>
      <c r="K422" s="122">
        <v>64.099999999999994</v>
      </c>
      <c r="L422" s="122">
        <v>35.299999999999997</v>
      </c>
      <c r="M422" s="122"/>
      <c r="N422" s="122">
        <v>411.7</v>
      </c>
      <c r="O422" s="122">
        <v>6.43</v>
      </c>
      <c r="P422" s="122">
        <v>712.72727272727263</v>
      </c>
      <c r="Q422" s="122">
        <f>N422*P422/1000</f>
        <v>293.42981818181812</v>
      </c>
      <c r="R422" s="122">
        <v>45.685818181818171</v>
      </c>
      <c r="S422" s="122"/>
      <c r="T422" s="122"/>
      <c r="U422" s="122"/>
      <c r="V422" s="123"/>
      <c r="W422" s="122"/>
      <c r="X422" s="122"/>
      <c r="Y422" s="122"/>
      <c r="Z422" s="122"/>
      <c r="AA422" s="1"/>
      <c r="AB422" s="1"/>
      <c r="AC422" s="1"/>
      <c r="AD422" s="1"/>
      <c r="AE422" s="1"/>
      <c r="AF422" s="24"/>
      <c r="AG422" s="124">
        <v>2.2000000000000002</v>
      </c>
      <c r="AH422" s="1">
        <v>56</v>
      </c>
      <c r="AI422" s="130"/>
      <c r="AJ422" s="124">
        <v>25.454545454545453</v>
      </c>
      <c r="AK422" s="1" t="s">
        <v>112</v>
      </c>
      <c r="AL422" s="122"/>
      <c r="AM422" s="122"/>
      <c r="AN422" s="122">
        <v>2.8</v>
      </c>
      <c r="AO422" s="122"/>
      <c r="AP422" s="122">
        <v>27.46</v>
      </c>
      <c r="AQ422" s="122">
        <v>62.65</v>
      </c>
      <c r="AR422" s="122">
        <v>7.55</v>
      </c>
    </row>
    <row r="423" spans="1:44">
      <c r="A423" s="75">
        <v>422</v>
      </c>
      <c r="B423" s="94">
        <v>2017</v>
      </c>
      <c r="C423" s="120" t="s">
        <v>138</v>
      </c>
      <c r="D423" s="86" t="s">
        <v>108</v>
      </c>
      <c r="E423" s="85" t="s">
        <v>25</v>
      </c>
      <c r="F423" s="87" t="s">
        <v>35</v>
      </c>
      <c r="G423" s="86"/>
      <c r="H423" s="17">
        <v>42949</v>
      </c>
      <c r="I423" s="17">
        <v>42949</v>
      </c>
      <c r="J423" s="88">
        <v>3</v>
      </c>
      <c r="K423" s="122"/>
      <c r="L423" s="122"/>
      <c r="M423" s="122"/>
      <c r="N423" s="122"/>
      <c r="O423" s="122"/>
      <c r="P423" s="122"/>
      <c r="Q423" s="122"/>
      <c r="R423" s="122"/>
      <c r="S423" s="122" t="str">
        <f t="shared" si="20"/>
        <v/>
      </c>
      <c r="T423" s="122"/>
      <c r="U423" s="122"/>
      <c r="V423" s="1">
        <v>2706.47</v>
      </c>
      <c r="W423" s="154">
        <v>0.43185423080364149</v>
      </c>
      <c r="X423" s="154">
        <v>2.2907567967770704E-2</v>
      </c>
      <c r="Y423" s="126">
        <f>$V423*W423</f>
        <v>1168.8005200431314</v>
      </c>
      <c r="Z423" s="126">
        <f>$V423*X423</f>
        <v>61.998645477732374</v>
      </c>
      <c r="AA423" s="1">
        <v>756.16728021428423</v>
      </c>
      <c r="AB423" s="1">
        <v>366.88056074268945</v>
      </c>
      <c r="AE423" s="131"/>
      <c r="AF423" s="131"/>
      <c r="AG423" s="124">
        <v>2.2000000000000002</v>
      </c>
      <c r="AH423" s="130"/>
      <c r="AI423" s="130"/>
      <c r="AJ423" s="130"/>
      <c r="AL423" s="122"/>
      <c r="AM423" s="122"/>
      <c r="AN423" s="122">
        <v>37</v>
      </c>
      <c r="AO423" s="122"/>
      <c r="AP423" s="122"/>
      <c r="AQ423" s="122"/>
      <c r="AR423" s="122"/>
    </row>
    <row r="424" spans="1:44">
      <c r="A424" s="75">
        <v>423</v>
      </c>
      <c r="B424" s="94">
        <v>2017</v>
      </c>
      <c r="C424" s="120" t="s">
        <v>138</v>
      </c>
      <c r="D424" s="86" t="s">
        <v>108</v>
      </c>
      <c r="E424" s="85" t="s">
        <v>17</v>
      </c>
      <c r="F424" s="87" t="s">
        <v>37</v>
      </c>
      <c r="G424" s="86" t="s">
        <v>48</v>
      </c>
      <c r="H424" s="17">
        <v>42957</v>
      </c>
      <c r="I424" s="17">
        <v>42957</v>
      </c>
      <c r="J424" s="88"/>
      <c r="K424" s="122">
        <v>65.099999999999994</v>
      </c>
      <c r="L424" s="122">
        <v>34.6</v>
      </c>
      <c r="M424" s="122"/>
      <c r="N424" s="122">
        <v>387.5</v>
      </c>
      <c r="O424" s="122">
        <v>5.95</v>
      </c>
      <c r="P424" s="122">
        <v>624.99999999999989</v>
      </c>
      <c r="Q424" s="122">
        <f>N424*P424/1000</f>
        <v>242.18749999999994</v>
      </c>
      <c r="R424" s="122">
        <v>40.687499999999986</v>
      </c>
      <c r="S424" s="122"/>
      <c r="T424" s="122"/>
      <c r="U424" s="122"/>
      <c r="V424" s="123"/>
      <c r="W424" s="122"/>
      <c r="X424" s="122"/>
      <c r="Y424" s="122"/>
      <c r="Z424" s="122"/>
      <c r="AA424" s="1"/>
      <c r="AB424" s="1"/>
      <c r="AC424" s="1"/>
      <c r="AD424" s="1"/>
      <c r="AE424" s="127"/>
      <c r="AF424" s="131"/>
      <c r="AG424" s="124">
        <v>2.2000000000000002</v>
      </c>
      <c r="AH424" s="1">
        <v>55</v>
      </c>
      <c r="AI424" s="130"/>
      <c r="AJ424" s="124">
        <v>24.999999999999996</v>
      </c>
      <c r="AK424" s="1" t="s">
        <v>5</v>
      </c>
      <c r="AL424" s="122"/>
      <c r="AM424" s="122"/>
      <c r="AN424" s="122">
        <v>2.5</v>
      </c>
      <c r="AO424" s="122"/>
      <c r="AP424" s="122">
        <v>28.69</v>
      </c>
      <c r="AQ424" s="122">
        <v>79.02</v>
      </c>
      <c r="AR424" s="122">
        <v>7.66</v>
      </c>
    </row>
    <row r="425" spans="1:44">
      <c r="A425" s="75">
        <v>424</v>
      </c>
      <c r="B425" s="94">
        <v>2017</v>
      </c>
      <c r="C425" s="120" t="s">
        <v>138</v>
      </c>
      <c r="D425" s="86" t="s">
        <v>108</v>
      </c>
      <c r="E425" s="85" t="s">
        <v>25</v>
      </c>
      <c r="F425" s="87" t="s">
        <v>35</v>
      </c>
      <c r="G425" s="86"/>
      <c r="H425" s="17">
        <v>42999</v>
      </c>
      <c r="I425" s="17">
        <v>42999</v>
      </c>
      <c r="J425" s="88">
        <v>4</v>
      </c>
      <c r="K425" s="122"/>
      <c r="L425" s="122"/>
      <c r="M425" s="122"/>
      <c r="N425" s="122"/>
      <c r="O425" s="122"/>
      <c r="P425" s="122"/>
      <c r="Q425" s="122"/>
      <c r="R425" s="122"/>
      <c r="S425" s="122" t="str">
        <f t="shared" si="20"/>
        <v/>
      </c>
      <c r="T425" s="122"/>
      <c r="U425" s="122"/>
      <c r="V425" s="1">
        <v>2939.2</v>
      </c>
      <c r="W425" s="154">
        <v>0.43185423080364149</v>
      </c>
      <c r="X425" s="154">
        <v>2.2907567967770704E-2</v>
      </c>
      <c r="Y425" s="126">
        <f>$V425*W425</f>
        <v>1269.305955178063</v>
      </c>
      <c r="Z425" s="126">
        <f>$V425*X425</f>
        <v>67.329923770871645</v>
      </c>
      <c r="AA425" s="1">
        <v>436.29470162570851</v>
      </c>
      <c r="AB425" s="1">
        <v>366.88056074268945</v>
      </c>
      <c r="AE425" s="131"/>
      <c r="AF425" s="131"/>
      <c r="AG425" s="124">
        <v>2.2000000000000002</v>
      </c>
      <c r="AH425" s="130"/>
      <c r="AI425" s="130"/>
      <c r="AJ425" s="130"/>
      <c r="AL425" s="122"/>
      <c r="AM425" s="122"/>
      <c r="AN425" s="122">
        <v>37</v>
      </c>
      <c r="AO425" s="122"/>
      <c r="AP425" s="122"/>
      <c r="AQ425" s="122"/>
      <c r="AR425" s="122"/>
    </row>
    <row r="426" spans="1:44">
      <c r="A426" s="75">
        <v>425</v>
      </c>
      <c r="B426" s="94">
        <v>2017</v>
      </c>
      <c r="C426" s="120" t="s">
        <v>138</v>
      </c>
      <c r="D426" s="86" t="s">
        <v>108</v>
      </c>
      <c r="E426" s="85" t="s">
        <v>25</v>
      </c>
      <c r="F426" s="87" t="s">
        <v>29</v>
      </c>
      <c r="G426" s="86" t="s">
        <v>47</v>
      </c>
      <c r="H426" s="17">
        <v>43057</v>
      </c>
      <c r="I426" s="17">
        <v>43068</v>
      </c>
      <c r="J426" s="88"/>
      <c r="K426" s="122"/>
      <c r="L426" s="122"/>
      <c r="M426" s="122"/>
      <c r="N426" s="122"/>
      <c r="O426" s="122"/>
      <c r="P426" s="122"/>
      <c r="Q426" s="122"/>
      <c r="R426" s="122"/>
      <c r="S426" s="125">
        <f>AL426*AJ426*AM426</f>
        <v>375</v>
      </c>
      <c r="T426" s="122">
        <f>IF(S426=0,"",S426*W426)</f>
        <v>163.90725082793966</v>
      </c>
      <c r="U426" s="122">
        <f>$S426*X426</f>
        <v>10.188703613237861</v>
      </c>
      <c r="V426" s="154">
        <v>375</v>
      </c>
      <c r="W426" s="154">
        <v>0.43708600220783911</v>
      </c>
      <c r="X426" s="154">
        <v>2.7169876301967627E-2</v>
      </c>
      <c r="Y426" s="126"/>
      <c r="Z426" s="126"/>
      <c r="AA426" s="1"/>
      <c r="AB426" s="1"/>
      <c r="AE426" s="131"/>
      <c r="AF426" s="131"/>
      <c r="AG426" s="124">
        <v>2.2000000000000002</v>
      </c>
      <c r="AH426" s="1">
        <v>50</v>
      </c>
      <c r="AI426" s="130"/>
      <c r="AJ426" s="124">
        <f>AH426/AG426</f>
        <v>22.727272727272727</v>
      </c>
      <c r="AK426" s="1" t="s">
        <v>66</v>
      </c>
      <c r="AL426" s="122">
        <f>I426-H426</f>
        <v>11</v>
      </c>
      <c r="AM426" s="122">
        <v>1.5</v>
      </c>
      <c r="AN426" s="122"/>
      <c r="AO426" s="122"/>
      <c r="AP426" s="122"/>
      <c r="AQ426" s="122"/>
      <c r="AR426" s="122"/>
    </row>
    <row r="427" spans="1:44">
      <c r="A427" s="75">
        <v>426</v>
      </c>
      <c r="B427" s="94">
        <v>2017</v>
      </c>
      <c r="C427" s="119" t="s">
        <v>139</v>
      </c>
      <c r="D427" s="86" t="s">
        <v>108</v>
      </c>
      <c r="E427" s="85" t="s">
        <v>25</v>
      </c>
      <c r="F427" s="87" t="s">
        <v>35</v>
      </c>
      <c r="G427" s="86" t="s">
        <v>36</v>
      </c>
      <c r="H427" s="17">
        <v>42872</v>
      </c>
      <c r="I427" s="17">
        <v>42873</v>
      </c>
      <c r="J427" s="88">
        <v>1</v>
      </c>
      <c r="K427" s="122"/>
      <c r="L427" s="122"/>
      <c r="M427" s="122"/>
      <c r="N427" s="122"/>
      <c r="O427" s="122"/>
      <c r="P427" s="122"/>
      <c r="Q427" s="122"/>
      <c r="R427" s="122"/>
      <c r="S427" s="122" t="str">
        <f>IF(AJ427=0,"",AJ427*AN427)</f>
        <v/>
      </c>
      <c r="T427" s="122"/>
      <c r="U427" s="122"/>
      <c r="V427" s="1">
        <v>5121.0999999999995</v>
      </c>
      <c r="W427" s="122">
        <v>0.44010759513872183</v>
      </c>
      <c r="X427" s="154">
        <v>2.7169876301967627E-2</v>
      </c>
      <c r="Y427" s="126">
        <f t="shared" ref="Y427:Z430" si="21">$V427*W427</f>
        <v>2253.8350054649081</v>
      </c>
      <c r="Z427" s="126">
        <f t="shared" si="21"/>
        <v>139.1396535300064</v>
      </c>
      <c r="AA427" s="1">
        <v>954.28256355815029</v>
      </c>
      <c r="AB427" s="1">
        <v>441.04909429991511</v>
      </c>
      <c r="AE427" s="131"/>
      <c r="AF427" s="131"/>
      <c r="AG427" s="124">
        <v>2.7</v>
      </c>
      <c r="AH427" s="130"/>
      <c r="AI427" s="130"/>
      <c r="AJ427" s="130"/>
      <c r="AL427" s="122"/>
      <c r="AM427" s="122"/>
      <c r="AN427" s="122">
        <v>37</v>
      </c>
      <c r="AO427" s="122"/>
      <c r="AP427" s="122"/>
      <c r="AQ427" s="122"/>
      <c r="AR427" s="122"/>
    </row>
    <row r="428" spans="1:44">
      <c r="A428" s="75">
        <v>427</v>
      </c>
      <c r="B428" s="94">
        <v>2017</v>
      </c>
      <c r="C428" s="119" t="s">
        <v>139</v>
      </c>
      <c r="D428" s="86" t="s">
        <v>108</v>
      </c>
      <c r="E428" s="85" t="s">
        <v>25</v>
      </c>
      <c r="F428" s="87" t="s">
        <v>35</v>
      </c>
      <c r="G428" s="86"/>
      <c r="H428" s="17">
        <v>42906</v>
      </c>
      <c r="I428" s="17">
        <v>42906</v>
      </c>
      <c r="J428" s="88">
        <v>2</v>
      </c>
      <c r="K428" s="122"/>
      <c r="L428" s="122"/>
      <c r="M428" s="122"/>
      <c r="N428" s="122"/>
      <c r="O428" s="122"/>
      <c r="P428" s="122"/>
      <c r="Q428" s="122"/>
      <c r="R428" s="122"/>
      <c r="S428" s="122" t="str">
        <f t="shared" ref="S428:S430" si="22">IF(AJ428=0,"",AJ428*AN428)</f>
        <v/>
      </c>
      <c r="T428" s="122"/>
      <c r="U428" s="122"/>
      <c r="V428" s="1">
        <v>3028.6</v>
      </c>
      <c r="W428" s="122">
        <v>0.43862154461877439</v>
      </c>
      <c r="X428" s="154">
        <v>2.7169876301967627E-2</v>
      </c>
      <c r="Y428" s="126">
        <f t="shared" si="21"/>
        <v>1328.4092100324201</v>
      </c>
      <c r="Z428" s="126">
        <f t="shared" si="21"/>
        <v>82.286687368139155</v>
      </c>
      <c r="AA428" s="1">
        <v>971.66217265970499</v>
      </c>
      <c r="AB428" s="1">
        <v>441.04909429991511</v>
      </c>
      <c r="AE428" s="131"/>
      <c r="AF428" s="131"/>
      <c r="AG428" s="124">
        <v>2.7</v>
      </c>
      <c r="AH428" s="130"/>
      <c r="AI428" s="130"/>
      <c r="AJ428" s="130"/>
      <c r="AL428" s="122"/>
      <c r="AM428" s="122"/>
      <c r="AN428" s="122">
        <v>37</v>
      </c>
      <c r="AO428" s="122"/>
      <c r="AP428" s="122"/>
      <c r="AQ428" s="122"/>
      <c r="AR428" s="122"/>
    </row>
    <row r="429" spans="1:44">
      <c r="A429" s="75">
        <v>428</v>
      </c>
      <c r="B429" s="94">
        <v>2017</v>
      </c>
      <c r="C429" s="119" t="s">
        <v>139</v>
      </c>
      <c r="D429" s="86" t="s">
        <v>108</v>
      </c>
      <c r="E429" s="85" t="s">
        <v>25</v>
      </c>
      <c r="F429" s="87" t="s">
        <v>35</v>
      </c>
      <c r="G429" s="86"/>
      <c r="H429" s="17">
        <v>42949</v>
      </c>
      <c r="I429" s="17">
        <v>42949</v>
      </c>
      <c r="J429" s="88">
        <v>3</v>
      </c>
      <c r="K429" s="122"/>
      <c r="L429" s="122"/>
      <c r="M429" s="122"/>
      <c r="N429" s="122"/>
      <c r="O429" s="122"/>
      <c r="P429" s="122"/>
      <c r="Q429" s="122"/>
      <c r="R429" s="122"/>
      <c r="S429" s="122" t="str">
        <f t="shared" si="22"/>
        <v/>
      </c>
      <c r="T429" s="122"/>
      <c r="U429" s="122"/>
      <c r="V429" s="1">
        <v>2480.8199999999997</v>
      </c>
      <c r="W429" s="122">
        <v>0.43252886686602099</v>
      </c>
      <c r="X429" s="154">
        <v>2.7169876301967627E-2</v>
      </c>
      <c r="Y429" s="126">
        <f t="shared" si="21"/>
        <v>1073.026263498562</v>
      </c>
      <c r="Z429" s="126">
        <f t="shared" si="21"/>
        <v>67.403572527447324</v>
      </c>
      <c r="AA429" s="1">
        <v>427.71316660688535</v>
      </c>
      <c r="AB429" s="1">
        <v>217.71668742161492</v>
      </c>
      <c r="AE429" s="131"/>
      <c r="AF429" s="131"/>
      <c r="AG429" s="124">
        <v>2.7</v>
      </c>
      <c r="AH429" s="130"/>
      <c r="AI429" s="130"/>
      <c r="AJ429" s="130"/>
      <c r="AL429" s="122"/>
      <c r="AM429" s="122"/>
      <c r="AN429" s="122">
        <v>37</v>
      </c>
      <c r="AO429" s="122"/>
      <c r="AP429" s="122"/>
      <c r="AQ429" s="122"/>
      <c r="AR429" s="122"/>
    </row>
    <row r="430" spans="1:44">
      <c r="A430" s="75">
        <v>429</v>
      </c>
      <c r="B430" s="94">
        <v>2017</v>
      </c>
      <c r="C430" s="119" t="s">
        <v>139</v>
      </c>
      <c r="D430" s="86" t="s">
        <v>108</v>
      </c>
      <c r="E430" s="85" t="s">
        <v>25</v>
      </c>
      <c r="F430" s="87" t="s">
        <v>35</v>
      </c>
      <c r="G430" s="86"/>
      <c r="H430" s="17">
        <v>42999</v>
      </c>
      <c r="I430" s="17">
        <v>42999</v>
      </c>
      <c r="J430" s="88">
        <v>4</v>
      </c>
      <c r="K430" s="122"/>
      <c r="L430" s="122"/>
      <c r="M430" s="122"/>
      <c r="N430" s="122"/>
      <c r="O430" s="122"/>
      <c r="P430" s="122"/>
      <c r="Q430" s="122"/>
      <c r="R430" s="122"/>
      <c r="S430" s="122" t="str">
        <f t="shared" si="22"/>
        <v/>
      </c>
      <c r="T430" s="122"/>
      <c r="U430" s="122"/>
      <c r="V430" s="1">
        <v>2959.3</v>
      </c>
      <c r="W430" s="154">
        <f>AVERAGE(W427:W429)</f>
        <v>0.43708600220783911</v>
      </c>
      <c r="X430" s="154">
        <v>2.7169876301967627E-2</v>
      </c>
      <c r="Y430" s="126">
        <f t="shared" si="21"/>
        <v>1293.4686063336583</v>
      </c>
      <c r="Z430" s="126">
        <f>$V430*X430</f>
        <v>80.403814940412801</v>
      </c>
      <c r="AA430" s="1">
        <v>911.56800806814886</v>
      </c>
      <c r="AB430" s="1">
        <v>217.71668742161492</v>
      </c>
      <c r="AE430" s="131"/>
      <c r="AF430" s="131"/>
      <c r="AG430" s="124">
        <v>2.7</v>
      </c>
      <c r="AH430" s="130"/>
      <c r="AI430" s="130"/>
      <c r="AJ430" s="130"/>
      <c r="AL430" s="122"/>
      <c r="AM430" s="122"/>
      <c r="AN430" s="122">
        <v>37</v>
      </c>
      <c r="AO430" s="122"/>
      <c r="AP430" s="122"/>
      <c r="AQ430" s="122"/>
      <c r="AR430" s="122"/>
    </row>
    <row r="431" spans="1:44">
      <c r="A431" s="75">
        <v>430</v>
      </c>
      <c r="B431" s="95">
        <v>2017</v>
      </c>
      <c r="C431" s="119" t="s">
        <v>139</v>
      </c>
      <c r="D431" s="86" t="s">
        <v>108</v>
      </c>
      <c r="E431" s="85" t="s">
        <v>25</v>
      </c>
      <c r="F431" s="87" t="s">
        <v>29</v>
      </c>
      <c r="G431" s="86" t="s">
        <v>47</v>
      </c>
      <c r="H431" s="17">
        <v>43027</v>
      </c>
      <c r="I431" s="17">
        <v>43037</v>
      </c>
      <c r="J431" s="88"/>
      <c r="K431" s="122"/>
      <c r="L431" s="122"/>
      <c r="M431" s="122"/>
      <c r="N431" s="122"/>
      <c r="O431" s="122"/>
      <c r="P431" s="122"/>
      <c r="Q431" s="122"/>
      <c r="R431" s="122"/>
      <c r="S431" s="125">
        <f>AL431*AJ431*AM431</f>
        <v>277.77777777777777</v>
      </c>
      <c r="T431" s="122">
        <f>IF(S431=0,"",S431*W431)</f>
        <v>121.41277839106641</v>
      </c>
      <c r="U431" s="122">
        <f>$S431*X431</f>
        <v>7.5471878616576742</v>
      </c>
      <c r="V431" s="154">
        <v>277.8</v>
      </c>
      <c r="W431" s="154">
        <v>0.43708600220783911</v>
      </c>
      <c r="X431" s="154">
        <v>2.7169876301967627E-2</v>
      </c>
      <c r="Y431" s="126"/>
      <c r="Z431" s="126"/>
      <c r="AA431" s="1"/>
      <c r="AE431" s="131"/>
      <c r="AF431" s="131"/>
      <c r="AG431" s="124">
        <v>2.7</v>
      </c>
      <c r="AH431" s="1">
        <v>50</v>
      </c>
      <c r="AI431" s="130"/>
      <c r="AJ431" s="124">
        <f>AH431/AG431</f>
        <v>18.518518518518519</v>
      </c>
      <c r="AK431" s="1" t="s">
        <v>66</v>
      </c>
      <c r="AL431" s="122">
        <f>I431-H431</f>
        <v>10</v>
      </c>
      <c r="AM431" s="122">
        <v>1.5</v>
      </c>
      <c r="AN431" s="122"/>
      <c r="AO431" s="122"/>
      <c r="AP431" s="122"/>
      <c r="AQ431" s="122"/>
      <c r="AR431" s="122"/>
    </row>
    <row r="432" spans="1:44">
      <c r="A432" s="75">
        <v>431</v>
      </c>
      <c r="B432" s="89">
        <v>2018</v>
      </c>
      <c r="C432" s="120" t="s">
        <v>138</v>
      </c>
      <c r="D432" s="85" t="s">
        <v>108</v>
      </c>
      <c r="E432" s="85" t="s">
        <v>17</v>
      </c>
      <c r="F432" s="86" t="s">
        <v>37</v>
      </c>
      <c r="G432" s="86" t="s">
        <v>48</v>
      </c>
      <c r="H432" s="17">
        <v>43199</v>
      </c>
      <c r="I432" s="17">
        <v>43199</v>
      </c>
      <c r="J432" s="88"/>
      <c r="K432" s="122">
        <v>73.599999999999994</v>
      </c>
      <c r="L432" s="122">
        <v>44.2</v>
      </c>
      <c r="M432" s="122"/>
      <c r="N432" s="122">
        <v>374.1</v>
      </c>
      <c r="O432" s="122">
        <v>5.09</v>
      </c>
      <c r="P432" s="122">
        <v>1240</v>
      </c>
      <c r="Q432" s="122">
        <f>N432*P432/1000</f>
        <v>463.88400000000001</v>
      </c>
      <c r="R432" s="122">
        <v>91.263999999999996</v>
      </c>
      <c r="S432" s="122"/>
      <c r="T432" s="122"/>
      <c r="U432" s="122"/>
      <c r="V432" s="123"/>
      <c r="W432" s="122"/>
      <c r="X432" s="122"/>
      <c r="Y432" s="122"/>
      <c r="Z432" s="122"/>
      <c r="AA432" s="1"/>
      <c r="AB432" s="1"/>
      <c r="AC432" s="1"/>
      <c r="AD432" s="1"/>
      <c r="AE432" s="127"/>
      <c r="AF432" s="131"/>
      <c r="AG432" s="155">
        <v>2.2000000000000002</v>
      </c>
      <c r="AH432" s="1">
        <f>AJ432*AG432</f>
        <v>88</v>
      </c>
      <c r="AI432" s="130"/>
      <c r="AJ432" s="155">
        <v>40</v>
      </c>
      <c r="AK432" s="1" t="s">
        <v>5</v>
      </c>
      <c r="AL432" s="122"/>
      <c r="AM432" s="122"/>
      <c r="AN432" s="122">
        <v>3.1</v>
      </c>
      <c r="AO432" s="122"/>
      <c r="AP432" s="122">
        <v>28.8</v>
      </c>
      <c r="AQ432" s="122">
        <v>87.28</v>
      </c>
      <c r="AR432" s="122">
        <v>8.16</v>
      </c>
    </row>
    <row r="433" spans="1:44">
      <c r="A433" s="75">
        <v>432</v>
      </c>
      <c r="B433" s="89">
        <v>2018</v>
      </c>
      <c r="C433" s="120" t="s">
        <v>138</v>
      </c>
      <c r="D433" s="86" t="s">
        <v>108</v>
      </c>
      <c r="E433" s="85" t="s">
        <v>25</v>
      </c>
      <c r="F433" s="86" t="s">
        <v>35</v>
      </c>
      <c r="G433" s="86" t="s">
        <v>36</v>
      </c>
      <c r="H433" s="17">
        <v>43217</v>
      </c>
      <c r="I433" s="17">
        <v>43217</v>
      </c>
      <c r="J433" s="88">
        <v>1</v>
      </c>
      <c r="K433" s="122"/>
      <c r="L433" s="122"/>
      <c r="M433" s="122"/>
      <c r="N433" s="122"/>
      <c r="O433" s="122"/>
      <c r="P433" s="122"/>
      <c r="Q433" s="122"/>
      <c r="R433" s="122"/>
      <c r="S433" s="122">
        <f t="shared" ref="S433" si="23">IF(AJ433=0,"",AJ433*AN433)</f>
        <v>1110</v>
      </c>
      <c r="T433" s="122">
        <f>IF(S433=0,"",S433*W433)</f>
        <v>499.93995396820077</v>
      </c>
      <c r="U433" s="122">
        <f>$S433*X433</f>
        <v>25.815833575353285</v>
      </c>
      <c r="V433" s="1">
        <v>3718.8999999999992</v>
      </c>
      <c r="W433" s="122">
        <v>0.45039635492630697</v>
      </c>
      <c r="X433" s="122">
        <v>2.32575077255435E-2</v>
      </c>
      <c r="Y433" s="126">
        <f>$V433*W433</f>
        <v>1674.9790043354426</v>
      </c>
      <c r="Z433" s="126">
        <f>$V433*X433</f>
        <v>86.49234548052371</v>
      </c>
      <c r="AA433" s="126">
        <v>941.85802775388879</v>
      </c>
      <c r="AB433" s="126">
        <v>499.68296929502753</v>
      </c>
      <c r="AC433" s="1"/>
      <c r="AD433" s="1"/>
      <c r="AE433" s="127"/>
      <c r="AF433" s="131"/>
      <c r="AG433" s="124">
        <v>2.2000000000000002</v>
      </c>
      <c r="AH433" s="1">
        <f>AJ433*AG433</f>
        <v>66</v>
      </c>
      <c r="AI433" s="124"/>
      <c r="AJ433" s="124">
        <v>30</v>
      </c>
      <c r="AK433" s="1" t="s">
        <v>83</v>
      </c>
      <c r="AL433" s="122"/>
      <c r="AM433" s="122"/>
      <c r="AN433" s="122">
        <v>37</v>
      </c>
      <c r="AO433" s="122"/>
      <c r="AP433" s="122"/>
      <c r="AQ433" s="122"/>
      <c r="AR433" s="122"/>
    </row>
    <row r="434" spans="1:44">
      <c r="A434" s="75">
        <v>433</v>
      </c>
      <c r="B434" s="89">
        <v>2018</v>
      </c>
      <c r="C434" s="120" t="s">
        <v>138</v>
      </c>
      <c r="D434" s="86" t="s">
        <v>108</v>
      </c>
      <c r="E434" s="85" t="s">
        <v>17</v>
      </c>
      <c r="F434" s="86" t="s">
        <v>37</v>
      </c>
      <c r="G434" s="86" t="s">
        <v>48</v>
      </c>
      <c r="H434" s="17">
        <v>43234</v>
      </c>
      <c r="I434" s="17">
        <v>43234</v>
      </c>
      <c r="J434" s="88"/>
      <c r="K434" s="122">
        <v>68</v>
      </c>
      <c r="L434" s="122">
        <v>39.1</v>
      </c>
      <c r="M434" s="122"/>
      <c r="N434" s="122">
        <v>372.7</v>
      </c>
      <c r="O434" s="122">
        <v>5.48</v>
      </c>
      <c r="P434" s="122">
        <v>1190</v>
      </c>
      <c r="Q434" s="122">
        <f>N434*P434/1000</f>
        <v>443.51299999999998</v>
      </c>
      <c r="R434" s="122">
        <v>80.92</v>
      </c>
      <c r="S434" s="122"/>
      <c r="T434" s="122"/>
      <c r="U434" s="122"/>
      <c r="V434" s="123"/>
      <c r="W434" s="122"/>
      <c r="X434" s="122"/>
      <c r="Y434" s="122"/>
      <c r="Z434" s="122"/>
      <c r="AA434" s="122"/>
      <c r="AB434" s="122"/>
      <c r="AC434" s="1"/>
      <c r="AD434" s="1"/>
      <c r="AE434" s="127"/>
      <c r="AF434" s="131"/>
      <c r="AG434" s="155">
        <v>2.2000000000000002</v>
      </c>
      <c r="AH434" s="1">
        <f>AJ434*AG434</f>
        <v>77</v>
      </c>
      <c r="AI434" s="130"/>
      <c r="AJ434" s="155">
        <v>35</v>
      </c>
      <c r="AK434" s="1" t="s">
        <v>5</v>
      </c>
      <c r="AL434" s="122"/>
      <c r="AM434" s="122"/>
      <c r="AN434" s="122">
        <v>3.4</v>
      </c>
      <c r="AO434" s="122"/>
      <c r="AP434" s="122">
        <v>26.24</v>
      </c>
      <c r="AQ434" s="122">
        <v>78.66</v>
      </c>
      <c r="AR434" s="122">
        <v>7.74</v>
      </c>
    </row>
    <row r="435" spans="1:44">
      <c r="A435" s="75">
        <v>434</v>
      </c>
      <c r="B435" s="89">
        <v>2018</v>
      </c>
      <c r="C435" s="120" t="s">
        <v>138</v>
      </c>
      <c r="D435" s="86" t="s">
        <v>108</v>
      </c>
      <c r="E435" s="85" t="s">
        <v>25</v>
      </c>
      <c r="F435" s="87" t="s">
        <v>35</v>
      </c>
      <c r="G435" s="86" t="s">
        <v>45</v>
      </c>
      <c r="H435" s="17">
        <v>43260</v>
      </c>
      <c r="I435" s="17">
        <v>43260</v>
      </c>
      <c r="J435" s="88">
        <v>2</v>
      </c>
      <c r="K435" s="122"/>
      <c r="L435" s="122"/>
      <c r="M435" s="122"/>
      <c r="N435" s="122"/>
      <c r="O435" s="122"/>
      <c r="P435" s="122"/>
      <c r="Q435" s="122"/>
      <c r="R435" s="122"/>
      <c r="S435" s="122" t="str">
        <f t="shared" ref="S435" si="24">IF(AJ435=0,"",AJ435*AN435)</f>
        <v/>
      </c>
      <c r="T435" s="122"/>
      <c r="U435" s="122"/>
      <c r="V435" s="1">
        <v>1991.2</v>
      </c>
      <c r="W435" s="122">
        <v>0.44258494477743499</v>
      </c>
      <c r="X435" s="122">
        <v>2.3753334696383299E-2</v>
      </c>
      <c r="Y435" s="126">
        <f>$V435*W435</f>
        <v>881.27514204082854</v>
      </c>
      <c r="Z435" s="126">
        <f>$V435*X435</f>
        <v>47.297640047438428</v>
      </c>
      <c r="AA435" s="126">
        <v>834.43617690829581</v>
      </c>
      <c r="AB435" s="126">
        <v>420.65227041848942</v>
      </c>
      <c r="AC435" s="1"/>
      <c r="AD435" s="1"/>
      <c r="AE435" s="127"/>
      <c r="AF435" s="131"/>
      <c r="AG435" s="124">
        <v>2.2000000000000002</v>
      </c>
      <c r="AH435" s="130"/>
      <c r="AI435" s="130"/>
      <c r="AJ435" s="130"/>
      <c r="AL435" s="122"/>
      <c r="AM435" s="122"/>
      <c r="AN435" s="122">
        <v>86</v>
      </c>
      <c r="AO435" s="122"/>
      <c r="AP435" s="122"/>
      <c r="AQ435" s="122"/>
      <c r="AR435" s="122"/>
    </row>
    <row r="436" spans="1:44">
      <c r="A436" s="75">
        <v>435</v>
      </c>
      <c r="B436" s="89">
        <v>2018</v>
      </c>
      <c r="C436" s="120" t="s">
        <v>138</v>
      </c>
      <c r="D436" s="86" t="s">
        <v>108</v>
      </c>
      <c r="E436" s="85" t="s">
        <v>17</v>
      </c>
      <c r="F436" s="87" t="s">
        <v>37</v>
      </c>
      <c r="G436" s="86" t="s">
        <v>48</v>
      </c>
      <c r="H436" s="17">
        <v>43276</v>
      </c>
      <c r="I436" s="17">
        <v>43276</v>
      </c>
      <c r="J436" s="88"/>
      <c r="K436" s="122">
        <v>66.599999999999994</v>
      </c>
      <c r="L436" s="122">
        <v>43</v>
      </c>
      <c r="M436" s="122"/>
      <c r="N436" s="122">
        <v>338</v>
      </c>
      <c r="O436" s="122">
        <v>5.08</v>
      </c>
      <c r="P436" s="122">
        <v>740</v>
      </c>
      <c r="Q436" s="122">
        <f>N436*P436/1000</f>
        <v>250.12</v>
      </c>
      <c r="R436" s="122">
        <v>49.283999999999992</v>
      </c>
      <c r="S436" s="122"/>
      <c r="T436" s="122"/>
      <c r="U436" s="122"/>
      <c r="V436" s="123"/>
      <c r="W436" s="122"/>
      <c r="X436" s="122"/>
      <c r="Y436" s="122"/>
      <c r="Z436" s="126"/>
      <c r="AA436" s="126"/>
      <c r="AB436" s="126"/>
      <c r="AC436" s="1"/>
      <c r="AD436" s="1"/>
      <c r="AE436" s="127"/>
      <c r="AF436" s="131"/>
      <c r="AG436" s="155">
        <v>2.2000000000000002</v>
      </c>
      <c r="AH436" s="1">
        <f>AJ436*AG436</f>
        <v>44</v>
      </c>
      <c r="AI436" s="130"/>
      <c r="AJ436" s="155">
        <v>20</v>
      </c>
      <c r="AK436" s="1" t="s">
        <v>5</v>
      </c>
      <c r="AL436" s="122"/>
      <c r="AM436" s="122"/>
      <c r="AN436" s="122">
        <v>3.7</v>
      </c>
      <c r="AO436" s="122"/>
      <c r="AP436" s="122">
        <v>28.55</v>
      </c>
      <c r="AQ436" s="122">
        <v>92.19</v>
      </c>
      <c r="AR436" s="122">
        <v>7.88</v>
      </c>
    </row>
    <row r="437" spans="1:44">
      <c r="A437" s="75">
        <v>436</v>
      </c>
      <c r="B437" s="89">
        <v>2018</v>
      </c>
      <c r="C437" s="120" t="s">
        <v>138</v>
      </c>
      <c r="D437" s="86" t="s">
        <v>108</v>
      </c>
      <c r="E437" s="85" t="s">
        <v>25</v>
      </c>
      <c r="F437" s="87" t="s">
        <v>35</v>
      </c>
      <c r="G437" s="86" t="s">
        <v>43</v>
      </c>
      <c r="H437" s="17">
        <v>43353</v>
      </c>
      <c r="I437" s="17">
        <v>43353</v>
      </c>
      <c r="J437" s="88">
        <v>3</v>
      </c>
      <c r="K437" s="122"/>
      <c r="L437" s="122"/>
      <c r="M437" s="122"/>
      <c r="N437" s="122"/>
      <c r="O437" s="122"/>
      <c r="P437" s="122"/>
      <c r="Q437" s="122"/>
      <c r="R437" s="122"/>
      <c r="S437" s="122" t="str">
        <f t="shared" ref="S437" si="25">IF(AJ437=0,"",AJ437*AN437)</f>
        <v/>
      </c>
      <c r="T437" s="122"/>
      <c r="U437" s="122"/>
      <c r="V437" s="1">
        <v>1162.8</v>
      </c>
      <c r="W437" s="122">
        <v>0.442845790379293</v>
      </c>
      <c r="X437" s="122">
        <v>3.8950490683359699E-2</v>
      </c>
      <c r="Y437" s="126">
        <f>$V437*W437</f>
        <v>514.94108505304189</v>
      </c>
      <c r="Z437" s="126">
        <f>$V437*X437</f>
        <v>45.291630566610657</v>
      </c>
      <c r="AA437" s="126">
        <v>477.58694380069568</v>
      </c>
      <c r="AB437" s="126">
        <v>136.26300239086797</v>
      </c>
      <c r="AC437" s="1"/>
      <c r="AD437" s="1"/>
      <c r="AE437" s="127"/>
      <c r="AF437" s="131"/>
      <c r="AG437" s="124">
        <v>2.2000000000000002</v>
      </c>
      <c r="AH437" s="130"/>
      <c r="AI437" s="130"/>
      <c r="AJ437" s="130"/>
      <c r="AL437" s="122"/>
      <c r="AM437" s="122"/>
      <c r="AN437" s="122">
        <v>70</v>
      </c>
      <c r="AO437" s="122"/>
      <c r="AP437" s="122"/>
      <c r="AQ437" s="122"/>
      <c r="AR437" s="122"/>
    </row>
    <row r="438" spans="1:44">
      <c r="A438" s="75">
        <v>437</v>
      </c>
      <c r="B438" s="89">
        <v>2018</v>
      </c>
      <c r="C438" s="120" t="s">
        <v>138</v>
      </c>
      <c r="D438" s="86" t="s">
        <v>108</v>
      </c>
      <c r="E438" s="85" t="s">
        <v>17</v>
      </c>
      <c r="F438" s="87" t="s">
        <v>37</v>
      </c>
      <c r="G438" s="86" t="s">
        <v>48</v>
      </c>
      <c r="H438" s="17">
        <v>43370</v>
      </c>
      <c r="I438" s="17">
        <v>43370</v>
      </c>
      <c r="J438" s="88"/>
      <c r="K438" s="122">
        <v>70.5</v>
      </c>
      <c r="L438" s="122">
        <v>42.5</v>
      </c>
      <c r="M438" s="122"/>
      <c r="N438" s="122">
        <v>347.1</v>
      </c>
      <c r="O438" s="122">
        <v>4.93</v>
      </c>
      <c r="P438" s="122">
        <f>AJ438*1000*AN438/100</f>
        <v>1120</v>
      </c>
      <c r="Q438" s="122">
        <f>N438*P438/1000</f>
        <v>388.75200000000001</v>
      </c>
      <c r="R438" s="122">
        <f>K438*P438/1000</f>
        <v>78.959999999999994</v>
      </c>
      <c r="S438" s="122"/>
      <c r="T438" s="122"/>
      <c r="U438" s="122"/>
      <c r="V438" s="123"/>
      <c r="W438" s="122"/>
      <c r="X438" s="122"/>
      <c r="Y438" s="122"/>
      <c r="Z438" s="126"/>
      <c r="AA438" s="126"/>
      <c r="AB438" s="126"/>
      <c r="AC438" s="1"/>
      <c r="AD438" s="1"/>
      <c r="AE438" s="127"/>
      <c r="AF438" s="131"/>
      <c r="AG438" s="155">
        <v>2.2000000000000002</v>
      </c>
      <c r="AH438" s="1">
        <f>AJ438*AG438</f>
        <v>88</v>
      </c>
      <c r="AI438" s="130"/>
      <c r="AJ438" s="155">
        <v>40</v>
      </c>
      <c r="AK438" s="1" t="s">
        <v>5</v>
      </c>
      <c r="AL438" s="122"/>
      <c r="AM438" s="122"/>
      <c r="AN438" s="122">
        <v>2.8</v>
      </c>
      <c r="AO438" s="122"/>
      <c r="AP438" s="122">
        <v>23.07</v>
      </c>
      <c r="AQ438" s="122">
        <v>49.88</v>
      </c>
      <c r="AR438" s="122">
        <v>7.17</v>
      </c>
    </row>
    <row r="439" spans="1:44">
      <c r="A439" s="75">
        <v>438</v>
      </c>
      <c r="B439" s="89">
        <v>2018</v>
      </c>
      <c r="C439" s="120" t="s">
        <v>138</v>
      </c>
      <c r="D439" s="86" t="s">
        <v>108</v>
      </c>
      <c r="E439" s="85" t="s">
        <v>25</v>
      </c>
      <c r="F439" s="87" t="s">
        <v>35</v>
      </c>
      <c r="G439" s="86" t="s">
        <v>36</v>
      </c>
      <c r="H439" s="17">
        <v>43395</v>
      </c>
      <c r="I439" s="17">
        <v>43395</v>
      </c>
      <c r="J439" s="88">
        <v>4</v>
      </c>
      <c r="K439" s="122"/>
      <c r="L439" s="122"/>
      <c r="M439" s="122"/>
      <c r="N439" s="122"/>
      <c r="O439" s="122"/>
      <c r="P439" s="122"/>
      <c r="Q439" s="122"/>
      <c r="R439" s="122"/>
      <c r="S439" s="122" t="str">
        <f t="shared" ref="S439" si="26">IF(AJ439=0,"",AJ439*AN439)</f>
        <v/>
      </c>
      <c r="T439" s="122"/>
      <c r="U439" s="122"/>
      <c r="V439" s="1">
        <v>738.4</v>
      </c>
      <c r="W439" s="122">
        <v>0.42641395611946398</v>
      </c>
      <c r="X439" s="122">
        <v>2.67236094709793E-2</v>
      </c>
      <c r="Y439" s="126">
        <f>$V439*W439</f>
        <v>314.8640651986122</v>
      </c>
      <c r="Z439" s="126">
        <f>$V439*X439</f>
        <v>19.732713233371115</v>
      </c>
      <c r="AA439" s="126">
        <v>321.67174434679703</v>
      </c>
      <c r="AB439" s="126">
        <v>37.53916352591591</v>
      </c>
      <c r="AC439" s="1"/>
      <c r="AD439" s="1"/>
      <c r="AE439" s="127"/>
      <c r="AF439" s="131"/>
      <c r="AG439" s="124">
        <v>2.2000000000000002</v>
      </c>
      <c r="AH439" s="130"/>
      <c r="AI439" s="130"/>
      <c r="AJ439" s="130"/>
      <c r="AL439" s="122"/>
      <c r="AM439" s="122"/>
      <c r="AN439" s="122">
        <v>37</v>
      </c>
      <c r="AO439" s="122"/>
      <c r="AP439" s="122"/>
      <c r="AQ439" s="122"/>
      <c r="AR439" s="122"/>
    </row>
    <row r="440" spans="1:44">
      <c r="A440" s="75">
        <v>439</v>
      </c>
      <c r="B440" s="89">
        <v>2018</v>
      </c>
      <c r="C440" s="120" t="s">
        <v>138</v>
      </c>
      <c r="D440" s="86" t="s">
        <v>108</v>
      </c>
      <c r="E440" s="85" t="s">
        <v>17</v>
      </c>
      <c r="F440" s="87" t="s">
        <v>37</v>
      </c>
      <c r="G440" s="86" t="s">
        <v>48</v>
      </c>
      <c r="H440" s="17">
        <v>43418</v>
      </c>
      <c r="I440" s="17">
        <v>43418</v>
      </c>
      <c r="J440" s="88"/>
      <c r="K440" s="154">
        <v>70.5</v>
      </c>
      <c r="L440" s="154">
        <v>42.5</v>
      </c>
      <c r="M440" s="154"/>
      <c r="N440" s="154">
        <v>347.1</v>
      </c>
      <c r="O440" s="154">
        <v>4.93</v>
      </c>
      <c r="P440" s="154">
        <f>AJ440*1000*AN440/100</f>
        <v>980</v>
      </c>
      <c r="Q440" s="154">
        <f>N440*P440/1000</f>
        <v>340.15800000000002</v>
      </c>
      <c r="R440" s="154">
        <f>K440*P440/1000</f>
        <v>69.09</v>
      </c>
      <c r="S440" s="154"/>
      <c r="T440" s="154"/>
      <c r="U440" s="154"/>
      <c r="V440" s="156"/>
      <c r="W440" s="154"/>
      <c r="X440" s="154"/>
      <c r="Y440" s="154"/>
      <c r="Z440" s="157"/>
      <c r="AA440" s="157"/>
      <c r="AB440" s="157"/>
      <c r="AC440" s="136"/>
      <c r="AD440" s="136"/>
      <c r="AE440" s="158"/>
      <c r="AF440" s="159"/>
      <c r="AG440" s="135">
        <v>2.2000000000000002</v>
      </c>
      <c r="AH440" s="160"/>
      <c r="AI440" s="161" t="s">
        <v>193</v>
      </c>
      <c r="AJ440" s="160">
        <v>35</v>
      </c>
      <c r="AK440" s="136" t="s">
        <v>5</v>
      </c>
      <c r="AL440" s="154"/>
      <c r="AM440" s="154"/>
      <c r="AN440" s="154">
        <v>2.8</v>
      </c>
      <c r="AO440" s="154"/>
      <c r="AP440" s="154">
        <v>23.07</v>
      </c>
      <c r="AQ440" s="154">
        <v>49.88</v>
      </c>
      <c r="AR440" s="154">
        <v>7.17</v>
      </c>
    </row>
    <row r="441" spans="1:44">
      <c r="A441" s="75">
        <v>440</v>
      </c>
      <c r="B441" s="89">
        <v>2018</v>
      </c>
      <c r="C441" s="119" t="s">
        <v>139</v>
      </c>
      <c r="D441" s="86" t="s">
        <v>108</v>
      </c>
      <c r="E441" s="85" t="s">
        <v>25</v>
      </c>
      <c r="F441" s="87" t="s">
        <v>35</v>
      </c>
      <c r="G441" s="85" t="s">
        <v>36</v>
      </c>
      <c r="H441" s="17">
        <v>43217</v>
      </c>
      <c r="I441" s="17">
        <v>43217</v>
      </c>
      <c r="J441" s="88">
        <v>1</v>
      </c>
      <c r="L441" s="122"/>
      <c r="M441" s="122"/>
      <c r="N441" s="122"/>
      <c r="O441" s="122"/>
      <c r="P441" s="122"/>
      <c r="Q441" s="122"/>
      <c r="R441" s="122"/>
      <c r="S441" s="122">
        <f>IF(AJ441=0,"",AJ441*AN441)</f>
        <v>1110</v>
      </c>
      <c r="T441" s="122">
        <f>IF(S441=0,"",S441*W441)</f>
        <v>501.49289797226714</v>
      </c>
      <c r="U441" s="122">
        <f>$S441*X441</f>
        <v>21.042463594385826</v>
      </c>
      <c r="V441" s="1">
        <v>2855.7</v>
      </c>
      <c r="W441" s="122">
        <v>0.45179540357861903</v>
      </c>
      <c r="X441" s="122">
        <v>1.8957174409356601E-2</v>
      </c>
      <c r="Y441" s="126">
        <f t="shared" ref="Y441:Z443" si="27">$V441*W441</f>
        <v>1290.1921339994622</v>
      </c>
      <c r="Z441" s="126">
        <f t="shared" si="27"/>
        <v>54.136002960799644</v>
      </c>
      <c r="AA441" s="126">
        <v>946.87615639826504</v>
      </c>
      <c r="AB441" s="126">
        <v>575.63530384970022</v>
      </c>
      <c r="AC441" s="1"/>
      <c r="AD441" s="1"/>
      <c r="AE441" s="127"/>
      <c r="AF441" s="131"/>
      <c r="AG441" s="124">
        <v>2.61</v>
      </c>
      <c r="AH441" s="124">
        <v>78.3</v>
      </c>
      <c r="AI441" s="124"/>
      <c r="AJ441" s="124">
        <v>30</v>
      </c>
      <c r="AK441" s="1" t="s">
        <v>83</v>
      </c>
      <c r="AL441" s="122"/>
      <c r="AM441" s="122"/>
      <c r="AN441" s="122">
        <v>37</v>
      </c>
      <c r="AO441" s="122"/>
      <c r="AP441" s="122"/>
      <c r="AQ441" s="122"/>
      <c r="AR441" s="122"/>
    </row>
    <row r="442" spans="1:44">
      <c r="A442" s="75">
        <v>441</v>
      </c>
      <c r="B442" s="89">
        <v>2018</v>
      </c>
      <c r="C442" s="119" t="s">
        <v>139</v>
      </c>
      <c r="D442" s="86" t="s">
        <v>108</v>
      </c>
      <c r="E442" s="85" t="s">
        <v>25</v>
      </c>
      <c r="F442" s="87" t="s">
        <v>35</v>
      </c>
      <c r="G442" s="85" t="s">
        <v>45</v>
      </c>
      <c r="H442" s="17">
        <v>43260</v>
      </c>
      <c r="I442" s="17">
        <v>43260</v>
      </c>
      <c r="J442" s="88">
        <v>2</v>
      </c>
      <c r="K442" s="122"/>
      <c r="L442" s="122"/>
      <c r="M442" s="122"/>
      <c r="N442" s="122"/>
      <c r="O442" s="122"/>
      <c r="P442" s="122"/>
      <c r="Q442" s="122"/>
      <c r="R442" s="122"/>
      <c r="S442" s="122">
        <f>IF(AJ442=0,"",AJ442*AN442)</f>
        <v>2580</v>
      </c>
      <c r="T442" s="122">
        <f t="shared" ref="T442:T443" si="28">IF(S442=0,"",S442*W442)</f>
        <v>1141.8531166459316</v>
      </c>
      <c r="U442" s="122">
        <f t="shared" ref="U442:U443" si="29">$S442*X442</f>
        <v>57.19746382185285</v>
      </c>
      <c r="V442" s="1">
        <v>1299.0999999999999</v>
      </c>
      <c r="W442" s="122">
        <v>0.44257872738214399</v>
      </c>
      <c r="X442" s="122">
        <v>2.2169559620873198E-2</v>
      </c>
      <c r="Y442" s="126">
        <f t="shared" si="27"/>
        <v>574.95402474214325</v>
      </c>
      <c r="Z442" s="122">
        <f t="shared" si="27"/>
        <v>28.800474903476371</v>
      </c>
      <c r="AA442" s="122">
        <v>372.15601567084661</v>
      </c>
      <c r="AB442" s="122">
        <v>196.68039797645207</v>
      </c>
      <c r="AC442" s="1"/>
      <c r="AD442" s="1"/>
      <c r="AE442" s="127"/>
      <c r="AF442" s="131"/>
      <c r="AG442" s="124">
        <v>2.61</v>
      </c>
      <c r="AH442" s="124">
        <v>78.3</v>
      </c>
      <c r="AI442" s="124"/>
      <c r="AJ442" s="124">
        <v>30</v>
      </c>
      <c r="AK442" s="1" t="s">
        <v>83</v>
      </c>
      <c r="AL442" s="122"/>
      <c r="AM442" s="122"/>
      <c r="AN442" s="122">
        <v>86</v>
      </c>
      <c r="AO442" s="122"/>
      <c r="AP442" s="122"/>
      <c r="AQ442" s="122"/>
      <c r="AR442" s="122"/>
    </row>
    <row r="443" spans="1:44">
      <c r="A443" s="75">
        <v>442</v>
      </c>
      <c r="B443" s="89">
        <v>2018</v>
      </c>
      <c r="C443" s="119" t="s">
        <v>139</v>
      </c>
      <c r="D443" s="86" t="s">
        <v>108</v>
      </c>
      <c r="E443" s="85" t="s">
        <v>25</v>
      </c>
      <c r="F443" s="87" t="s">
        <v>35</v>
      </c>
      <c r="G443" s="86" t="s">
        <v>43</v>
      </c>
      <c r="H443" s="17">
        <v>43353</v>
      </c>
      <c r="I443" s="17">
        <v>43353</v>
      </c>
      <c r="J443" s="129">
        <v>3</v>
      </c>
      <c r="K443" s="122"/>
      <c r="L443" s="122"/>
      <c r="M443" s="122"/>
      <c r="N443" s="122"/>
      <c r="O443" s="122"/>
      <c r="P443" s="122"/>
      <c r="Q443" s="122"/>
      <c r="R443" s="122"/>
      <c r="S443" s="122">
        <f>IF(AJ443=0,"",AJ443*AN443)</f>
        <v>1400</v>
      </c>
      <c r="T443" s="122">
        <f t="shared" si="28"/>
        <v>650.20570075055286</v>
      </c>
      <c r="U443" s="122">
        <f t="shared" si="29"/>
        <v>43.13836651252366</v>
      </c>
      <c r="V443" s="1">
        <v>1094.5999999999999</v>
      </c>
      <c r="W443" s="122">
        <v>0.46443264339325202</v>
      </c>
      <c r="X443" s="122">
        <v>3.0813118937516901E-2</v>
      </c>
      <c r="Y443" s="126">
        <f t="shared" si="27"/>
        <v>508.36797145825363</v>
      </c>
      <c r="Z443" s="126">
        <f t="shared" si="27"/>
        <v>33.728039989006</v>
      </c>
      <c r="AA443" s="126">
        <v>357.34707685013092</v>
      </c>
      <c r="AB443" s="126">
        <v>120.59699096030567</v>
      </c>
      <c r="AC443" s="1"/>
      <c r="AD443" s="1"/>
      <c r="AE443" s="127"/>
      <c r="AF443" s="131"/>
      <c r="AG443" s="124">
        <v>2.61</v>
      </c>
      <c r="AH443" s="124">
        <v>52.2</v>
      </c>
      <c r="AI443" s="124"/>
      <c r="AJ443" s="124">
        <v>20</v>
      </c>
      <c r="AK443" s="1" t="s">
        <v>83</v>
      </c>
      <c r="AL443" s="122"/>
      <c r="AM443" s="122"/>
      <c r="AN443" s="122">
        <v>70</v>
      </c>
      <c r="AO443" s="122"/>
      <c r="AP443" s="122"/>
      <c r="AQ443" s="122"/>
      <c r="AR443" s="122"/>
    </row>
    <row r="444" spans="1:44">
      <c r="A444" s="75">
        <v>443</v>
      </c>
      <c r="B444" s="89">
        <v>2018</v>
      </c>
      <c r="C444" s="119" t="s">
        <v>139</v>
      </c>
      <c r="D444" s="86" t="s">
        <v>108</v>
      </c>
      <c r="E444" s="85" t="s">
        <v>23</v>
      </c>
      <c r="F444" s="87" t="s">
        <v>38</v>
      </c>
      <c r="G444" s="38" t="s">
        <v>190</v>
      </c>
      <c r="H444" s="17">
        <v>43363</v>
      </c>
      <c r="I444" s="17">
        <v>43363</v>
      </c>
      <c r="J444" s="129"/>
      <c r="K444" s="122"/>
      <c r="L444" s="122"/>
      <c r="M444" s="122"/>
      <c r="N444" s="122"/>
      <c r="O444" s="122"/>
      <c r="P444" s="122"/>
      <c r="Q444" s="122"/>
      <c r="R444" s="122"/>
      <c r="S444" s="122"/>
      <c r="T444" s="122"/>
      <c r="U444" s="122"/>
      <c r="V444" s="1"/>
      <c r="W444" s="122"/>
      <c r="X444" s="122"/>
      <c r="Y444" s="122"/>
      <c r="Z444" s="126"/>
      <c r="AA444" s="126"/>
      <c r="AB444" s="126"/>
      <c r="AC444" s="1"/>
      <c r="AD444" s="1"/>
      <c r="AE444" s="127"/>
      <c r="AF444" s="131"/>
      <c r="AG444" s="124">
        <v>2.61</v>
      </c>
      <c r="AH444" s="130"/>
      <c r="AI444" s="130"/>
      <c r="AJ444" s="124">
        <v>20</v>
      </c>
      <c r="AK444" s="1" t="s">
        <v>3</v>
      </c>
      <c r="AL444" s="122"/>
      <c r="AM444" s="122"/>
      <c r="AN444" s="122"/>
      <c r="AO444" s="122"/>
      <c r="AP444" s="122"/>
      <c r="AQ444" s="122"/>
      <c r="AR444" s="122"/>
    </row>
    <row r="445" spans="1:44">
      <c r="A445" s="75">
        <v>444</v>
      </c>
      <c r="B445" s="89">
        <v>2018</v>
      </c>
      <c r="C445" s="119" t="s">
        <v>139</v>
      </c>
      <c r="D445" s="86" t="s">
        <v>108</v>
      </c>
      <c r="E445" s="85" t="s">
        <v>25</v>
      </c>
      <c r="F445" s="87" t="s">
        <v>35</v>
      </c>
      <c r="G445" s="86" t="s">
        <v>36</v>
      </c>
      <c r="H445" s="17">
        <v>43395</v>
      </c>
      <c r="I445" s="17">
        <v>43395</v>
      </c>
      <c r="J445" s="129">
        <v>4</v>
      </c>
      <c r="K445" s="122"/>
      <c r="L445" s="122"/>
      <c r="M445" s="122"/>
      <c r="N445" s="122"/>
      <c r="O445" s="122"/>
      <c r="P445" s="122"/>
      <c r="Q445" s="122"/>
      <c r="R445" s="122"/>
      <c r="S445" s="122" t="str">
        <f>IF(AJ445=0,"",AJ445*AN445)</f>
        <v/>
      </c>
      <c r="T445" s="122"/>
      <c r="U445" s="122"/>
      <c r="V445" s="1">
        <v>773.9</v>
      </c>
      <c r="W445" s="122">
        <v>0.43084793371779201</v>
      </c>
      <c r="X445" s="122">
        <v>2.9737850768656999E-2</v>
      </c>
      <c r="Y445" s="126">
        <f>$V445*W445</f>
        <v>333.43321590419924</v>
      </c>
      <c r="Z445" s="126">
        <f>$V445*X445</f>
        <v>23.014122709863649</v>
      </c>
      <c r="AA445" s="126">
        <v>273.17859441113683</v>
      </c>
      <c r="AB445" s="126">
        <v>118.22152059189865</v>
      </c>
      <c r="AC445" s="1"/>
      <c r="AD445" s="1"/>
      <c r="AE445" s="127"/>
      <c r="AF445" s="131"/>
      <c r="AG445" s="124">
        <v>2.61</v>
      </c>
      <c r="AH445" s="130"/>
      <c r="AI445" s="130"/>
      <c r="AJ445" s="130"/>
      <c r="AL445" s="122"/>
      <c r="AM445" s="122"/>
      <c r="AN445" s="122">
        <v>37</v>
      </c>
      <c r="AO445" s="122"/>
      <c r="AP445" s="122"/>
      <c r="AQ445" s="122"/>
      <c r="AR445" s="122"/>
    </row>
    <row r="446" spans="1:44">
      <c r="A446" s="75">
        <v>445</v>
      </c>
      <c r="B446" s="98">
        <v>2019</v>
      </c>
      <c r="C446" s="120" t="s">
        <v>138</v>
      </c>
      <c r="D446" s="86" t="s">
        <v>108</v>
      </c>
      <c r="E446" s="85" t="s">
        <v>17</v>
      </c>
      <c r="F446" s="87" t="s">
        <v>37</v>
      </c>
      <c r="G446" s="86" t="s">
        <v>48</v>
      </c>
      <c r="H446" s="17">
        <v>43522</v>
      </c>
      <c r="I446" s="17">
        <v>43522</v>
      </c>
      <c r="J446" s="128"/>
      <c r="K446" s="122">
        <v>62</v>
      </c>
      <c r="L446" s="122">
        <v>36.1</v>
      </c>
      <c r="M446" s="122"/>
      <c r="N446" s="122">
        <v>390.2</v>
      </c>
      <c r="O446" s="122">
        <v>6.29</v>
      </c>
      <c r="P446" s="122">
        <f>AJ446*1000*AN446/100</f>
        <v>1000</v>
      </c>
      <c r="Q446" s="122">
        <f>N446*P446/1000</f>
        <v>390.2</v>
      </c>
      <c r="R446" s="122">
        <f>K446*P446/1000</f>
        <v>62</v>
      </c>
      <c r="S446" s="122"/>
      <c r="T446" s="122"/>
      <c r="U446" s="122"/>
      <c r="V446" s="123"/>
      <c r="W446" s="122"/>
      <c r="X446" s="122"/>
      <c r="Y446" s="122"/>
      <c r="Z446" s="126"/>
      <c r="AA446" s="126"/>
      <c r="AB446" s="126"/>
      <c r="AG446" s="132">
        <v>1.32</v>
      </c>
      <c r="AH446" s="1">
        <f t="shared" ref="AH446:AH453" si="30">AJ446*AG446</f>
        <v>33</v>
      </c>
      <c r="AI446" s="1"/>
      <c r="AJ446" s="124">
        <v>25</v>
      </c>
      <c r="AK446" s="1" t="s">
        <v>5</v>
      </c>
      <c r="AL446" s="122"/>
      <c r="AM446" s="122"/>
      <c r="AN446" s="122">
        <v>4</v>
      </c>
      <c r="AO446" s="122"/>
      <c r="AP446" s="122">
        <v>29.82</v>
      </c>
      <c r="AQ446" s="122">
        <v>75.680000000000007</v>
      </c>
      <c r="AR446" s="122">
        <v>8.3000000000000007</v>
      </c>
    </row>
    <row r="447" spans="1:44">
      <c r="A447" s="75">
        <v>446</v>
      </c>
      <c r="B447" s="98">
        <v>2019</v>
      </c>
      <c r="C447" s="120" t="s">
        <v>138</v>
      </c>
      <c r="D447" s="86" t="s">
        <v>108</v>
      </c>
      <c r="E447" s="85" t="s">
        <v>26</v>
      </c>
      <c r="F447" s="87" t="s">
        <v>33</v>
      </c>
      <c r="G447" s="91" t="s">
        <v>178</v>
      </c>
      <c r="H447" s="17">
        <v>43546</v>
      </c>
      <c r="I447" s="17">
        <v>43546</v>
      </c>
      <c r="J447" s="128"/>
      <c r="K447" s="122"/>
      <c r="L447" s="122"/>
      <c r="M447" s="122"/>
      <c r="N447" s="122"/>
      <c r="O447" s="122"/>
      <c r="P447" s="122"/>
      <c r="Q447" s="122"/>
      <c r="R447" s="122"/>
      <c r="S447" s="122"/>
      <c r="T447" s="122"/>
      <c r="U447" s="122"/>
      <c r="V447" s="123"/>
      <c r="W447" s="122"/>
      <c r="X447" s="122"/>
      <c r="Y447" s="122"/>
      <c r="Z447" s="126"/>
      <c r="AA447" s="126"/>
      <c r="AB447" s="126"/>
      <c r="AG447" s="132">
        <v>1.32</v>
      </c>
      <c r="AH447" s="1">
        <f t="shared" si="30"/>
        <v>1.6500000000000001</v>
      </c>
      <c r="AI447" s="1"/>
      <c r="AJ447" s="124">
        <v>1.25</v>
      </c>
      <c r="AK447" s="1" t="s">
        <v>177</v>
      </c>
      <c r="AL447" s="122"/>
      <c r="AM447" s="122"/>
      <c r="AN447" s="122"/>
      <c r="AO447" s="122"/>
      <c r="AP447" s="122"/>
      <c r="AQ447" s="122"/>
      <c r="AR447" s="122"/>
    </row>
    <row r="448" spans="1:44" s="3" customFormat="1">
      <c r="A448" s="75">
        <v>447</v>
      </c>
      <c r="B448" s="98">
        <v>2019</v>
      </c>
      <c r="C448" s="120" t="s">
        <v>138</v>
      </c>
      <c r="D448" s="86" t="s">
        <v>108</v>
      </c>
      <c r="E448" s="85" t="s">
        <v>25</v>
      </c>
      <c r="F448" s="87" t="s">
        <v>35</v>
      </c>
      <c r="G448" s="86" t="s">
        <v>36</v>
      </c>
      <c r="H448" s="17">
        <v>43591</v>
      </c>
      <c r="I448" s="17">
        <v>43591</v>
      </c>
      <c r="J448" s="128">
        <v>1</v>
      </c>
      <c r="K448" s="122"/>
      <c r="L448" s="122"/>
      <c r="M448" s="122"/>
      <c r="N448" s="122"/>
      <c r="O448" s="122"/>
      <c r="P448" s="122"/>
      <c r="Q448" s="122"/>
      <c r="R448" s="122"/>
      <c r="S448" s="122">
        <f>IF(AJ448=0,"",AJ448*AN448)</f>
        <v>489.14000000000004</v>
      </c>
      <c r="T448" s="122">
        <f>IF(S448=0,"",S448*W448)</f>
        <v>219.23766018417888</v>
      </c>
      <c r="U448" s="122">
        <f>$S448*X448</f>
        <v>10.561283516800437</v>
      </c>
      <c r="V448" s="1">
        <v>2500.6</v>
      </c>
      <c r="W448" s="122">
        <v>0.44821045137216103</v>
      </c>
      <c r="X448" s="122">
        <v>2.1591535177659639E-2</v>
      </c>
      <c r="Y448" s="126">
        <f>$V448*W448</f>
        <v>1120.7950547012258</v>
      </c>
      <c r="Z448" s="126">
        <f t="shared" ref="Z448:Z482" si="31">$V448*X448</f>
        <v>53.99179286525569</v>
      </c>
      <c r="AA448" s="126">
        <v>979.83186766347171</v>
      </c>
      <c r="AB448" s="126">
        <v>517.67972795674871</v>
      </c>
      <c r="AC448" s="24"/>
      <c r="AD448" s="24"/>
      <c r="AE448" s="8"/>
      <c r="AF448" s="8"/>
      <c r="AG448" s="132">
        <f>1.32</f>
        <v>1.32</v>
      </c>
      <c r="AH448" s="1">
        <f>AJ448*AG448</f>
        <v>17.450400000000002</v>
      </c>
      <c r="AI448" s="1" t="s">
        <v>83</v>
      </c>
      <c r="AJ448" s="124">
        <v>13.22</v>
      </c>
      <c r="AK448" s="1" t="s">
        <v>83</v>
      </c>
      <c r="AL448" s="122"/>
      <c r="AM448" s="122"/>
      <c r="AN448" s="122">
        <v>37</v>
      </c>
      <c r="AO448" s="122"/>
      <c r="AP448" s="122"/>
      <c r="AQ448" s="122"/>
      <c r="AR448" s="122"/>
    </row>
    <row r="449" spans="1:44" s="3" customFormat="1">
      <c r="A449" s="75">
        <v>448</v>
      </c>
      <c r="B449" s="98">
        <v>2019</v>
      </c>
      <c r="C449" s="120" t="s">
        <v>138</v>
      </c>
      <c r="D449" s="86" t="s">
        <v>108</v>
      </c>
      <c r="E449" s="85" t="s">
        <v>17</v>
      </c>
      <c r="F449" s="87" t="s">
        <v>37</v>
      </c>
      <c r="G449" s="86" t="s">
        <v>48</v>
      </c>
      <c r="H449" s="17">
        <v>43608</v>
      </c>
      <c r="I449" s="17">
        <v>43608</v>
      </c>
      <c r="J449" s="128"/>
      <c r="K449" s="122">
        <v>66.599999999999994</v>
      </c>
      <c r="L449" s="122">
        <v>46.8</v>
      </c>
      <c r="M449" s="122"/>
      <c r="N449" s="122">
        <v>376.8</v>
      </c>
      <c r="O449" s="122">
        <v>5.65</v>
      </c>
      <c r="P449" s="122">
        <f>AJ449*1000*AN449/100</f>
        <v>516.77</v>
      </c>
      <c r="Q449" s="122">
        <f>N449*P449/1000</f>
        <v>194.71893599999999</v>
      </c>
      <c r="R449" s="122">
        <f>K449*P449/1000</f>
        <v>34.416882000000001</v>
      </c>
      <c r="S449" s="122"/>
      <c r="T449" s="122" t="str">
        <f t="shared" ref="T449:T471" si="32">IF(S449=0,"",S449*W449)</f>
        <v/>
      </c>
      <c r="U449" s="122"/>
      <c r="V449" s="1"/>
      <c r="W449" s="122"/>
      <c r="X449" s="122"/>
      <c r="Y449" s="122"/>
      <c r="Z449" s="126"/>
      <c r="AA449" s="126"/>
      <c r="AB449" s="126"/>
      <c r="AC449" s="24"/>
      <c r="AD449" s="24"/>
      <c r="AE449" s="8"/>
      <c r="AF449" s="8"/>
      <c r="AG449" s="132">
        <v>1.32</v>
      </c>
      <c r="AH449" s="1">
        <f t="shared" si="30"/>
        <v>22.004400000000004</v>
      </c>
      <c r="AI449" s="1"/>
      <c r="AJ449" s="124">
        <v>16.670000000000002</v>
      </c>
      <c r="AK449" s="1" t="s">
        <v>5</v>
      </c>
      <c r="AL449" s="122"/>
      <c r="AM449" s="122"/>
      <c r="AN449" s="122">
        <v>3.1</v>
      </c>
      <c r="AO449" s="122"/>
      <c r="AP449" s="122">
        <v>29.31</v>
      </c>
      <c r="AQ449" s="122">
        <v>95.46</v>
      </c>
      <c r="AR449" s="122">
        <v>8.86</v>
      </c>
    </row>
    <row r="450" spans="1:44" s="3" customFormat="1">
      <c r="A450" s="75">
        <v>449</v>
      </c>
      <c r="B450" s="98">
        <v>2019</v>
      </c>
      <c r="C450" s="120" t="s">
        <v>138</v>
      </c>
      <c r="D450" s="86" t="s">
        <v>108</v>
      </c>
      <c r="E450" s="85" t="s">
        <v>25</v>
      </c>
      <c r="F450" s="87" t="s">
        <v>35</v>
      </c>
      <c r="G450" s="86" t="s">
        <v>43</v>
      </c>
      <c r="H450" s="17">
        <v>43633</v>
      </c>
      <c r="I450" s="17">
        <v>43633</v>
      </c>
      <c r="J450" s="128">
        <v>2</v>
      </c>
      <c r="K450" s="122"/>
      <c r="L450" s="122"/>
      <c r="M450" s="122"/>
      <c r="N450" s="122"/>
      <c r="O450" s="122"/>
      <c r="P450" s="122"/>
      <c r="Q450" s="122"/>
      <c r="R450" s="122"/>
      <c r="S450" s="122">
        <f>IF(AJ450=0,"",AJ450*AN450)</f>
        <v>840</v>
      </c>
      <c r="T450" s="122">
        <f t="shared" si="32"/>
        <v>374.63322819974786</v>
      </c>
      <c r="U450" s="122">
        <f>$S450*X450</f>
        <v>17.573130496867144</v>
      </c>
      <c r="V450" s="1">
        <v>1529.2</v>
      </c>
      <c r="W450" s="122">
        <v>0.44599193833303319</v>
      </c>
      <c r="X450" s="122">
        <v>2.0920393448651362E-2</v>
      </c>
      <c r="Y450" s="126">
        <f>$V450*W450</f>
        <v>682.01087209887442</v>
      </c>
      <c r="Z450" s="126">
        <f t="shared" si="31"/>
        <v>31.991465661677662</v>
      </c>
      <c r="AA450" s="126">
        <v>442.42533582264247</v>
      </c>
      <c r="AB450" s="126">
        <v>291.78496826604271</v>
      </c>
      <c r="AC450" s="24"/>
      <c r="AD450" s="24"/>
      <c r="AE450" s="8"/>
      <c r="AF450" s="8"/>
      <c r="AG450" s="132">
        <v>1.32</v>
      </c>
      <c r="AH450" s="1">
        <f t="shared" si="30"/>
        <v>15.84</v>
      </c>
      <c r="AI450" s="1"/>
      <c r="AJ450" s="124">
        <v>12</v>
      </c>
      <c r="AK450" s="1" t="s">
        <v>83</v>
      </c>
      <c r="AL450" s="122"/>
      <c r="AM450" s="122"/>
      <c r="AN450" s="122">
        <v>70</v>
      </c>
      <c r="AO450" s="122"/>
      <c r="AP450" s="122"/>
      <c r="AQ450" s="122"/>
      <c r="AR450" s="122"/>
    </row>
    <row r="451" spans="1:44" s="3" customFormat="1">
      <c r="A451" s="75">
        <v>450</v>
      </c>
      <c r="B451" s="98">
        <v>2019</v>
      </c>
      <c r="C451" s="120" t="s">
        <v>138</v>
      </c>
      <c r="D451" s="86" t="s">
        <v>108</v>
      </c>
      <c r="E451" s="85" t="s">
        <v>17</v>
      </c>
      <c r="F451" s="87" t="s">
        <v>37</v>
      </c>
      <c r="G451" s="86" t="s">
        <v>48</v>
      </c>
      <c r="H451" s="17">
        <v>43656</v>
      </c>
      <c r="I451" s="17">
        <v>43656</v>
      </c>
      <c r="J451" s="128"/>
      <c r="K451" s="122">
        <v>66.3</v>
      </c>
      <c r="L451" s="122">
        <v>39.1</v>
      </c>
      <c r="M451" s="122"/>
      <c r="N451" s="122">
        <v>381.4</v>
      </c>
      <c r="O451" s="122">
        <v>5.75</v>
      </c>
      <c r="P451" s="122">
        <f>AJ451*1000*AN451/100</f>
        <v>750.12</v>
      </c>
      <c r="Q451" s="122">
        <f>N451*P451/1000</f>
        <v>286.09576799999996</v>
      </c>
      <c r="R451" s="122">
        <f>K451*P451/1000</f>
        <v>49.732956000000001</v>
      </c>
      <c r="S451" s="122"/>
      <c r="T451" s="122" t="str">
        <f t="shared" si="32"/>
        <v/>
      </c>
      <c r="U451" s="122"/>
      <c r="V451" s="1"/>
      <c r="W451" s="122"/>
      <c r="X451" s="122"/>
      <c r="Y451" s="122"/>
      <c r="Z451" s="126"/>
      <c r="AA451" s="126"/>
      <c r="AB451" s="126"/>
      <c r="AC451" s="24"/>
      <c r="AD451" s="24"/>
      <c r="AE451" s="8"/>
      <c r="AF451" s="8"/>
      <c r="AG451" s="132">
        <v>1.32</v>
      </c>
      <c r="AH451" s="1">
        <f t="shared" si="30"/>
        <v>23.575199999999999</v>
      </c>
      <c r="AI451" s="1"/>
      <c r="AJ451" s="124">
        <v>17.86</v>
      </c>
      <c r="AK451" s="1" t="s">
        <v>5</v>
      </c>
      <c r="AL451" s="122"/>
      <c r="AM451" s="122"/>
      <c r="AN451" s="122">
        <v>4.2</v>
      </c>
      <c r="AO451" s="122"/>
      <c r="AP451" s="122">
        <v>29.08</v>
      </c>
      <c r="AQ451" s="122">
        <v>69.650000000000006</v>
      </c>
      <c r="AR451" s="122">
        <v>7.7</v>
      </c>
    </row>
    <row r="452" spans="1:44">
      <c r="A452" s="75">
        <v>451</v>
      </c>
      <c r="B452" s="98">
        <v>2019</v>
      </c>
      <c r="C452" s="120" t="s">
        <v>138</v>
      </c>
      <c r="D452" s="86" t="s">
        <v>108</v>
      </c>
      <c r="E452" s="85" t="s">
        <v>25</v>
      </c>
      <c r="F452" s="87" t="s">
        <v>35</v>
      </c>
      <c r="G452" s="86" t="s">
        <v>36</v>
      </c>
      <c r="H452" s="17">
        <v>43685</v>
      </c>
      <c r="I452" s="17">
        <v>43685</v>
      </c>
      <c r="J452" s="128">
        <v>3</v>
      </c>
      <c r="K452" s="122"/>
      <c r="L452" s="122"/>
      <c r="M452" s="122"/>
      <c r="N452" s="122"/>
      <c r="O452" s="122"/>
      <c r="P452" s="122"/>
      <c r="Q452" s="122"/>
      <c r="R452" s="122"/>
      <c r="S452" s="122">
        <f>IF(AJ452=0,"",AJ452*AN452)</f>
        <v>555</v>
      </c>
      <c r="T452" s="122">
        <f t="shared" si="32"/>
        <v>250.14743363175069</v>
      </c>
      <c r="U452" s="122">
        <f>$S452*X452</f>
        <v>15.763917011524967</v>
      </c>
      <c r="V452" s="1">
        <v>1133.8</v>
      </c>
      <c r="W452" s="122">
        <v>0.45071609663378503</v>
      </c>
      <c r="X452" s="122">
        <v>2.840345407481976E-2</v>
      </c>
      <c r="Y452" s="126">
        <f>$V452*W452</f>
        <v>511.02191036338547</v>
      </c>
      <c r="Z452" s="126">
        <f t="shared" si="31"/>
        <v>32.203836230030639</v>
      </c>
      <c r="AA452" s="126">
        <v>663.05484941544114</v>
      </c>
      <c r="AB452" s="126">
        <v>302.64509490241221</v>
      </c>
      <c r="AG452" s="132">
        <v>1.32</v>
      </c>
      <c r="AH452" s="1">
        <f t="shared" si="30"/>
        <v>19.8</v>
      </c>
      <c r="AI452" s="1"/>
      <c r="AJ452" s="124">
        <v>15</v>
      </c>
      <c r="AK452" s="1" t="s">
        <v>83</v>
      </c>
      <c r="AL452" s="122"/>
      <c r="AM452" s="122"/>
      <c r="AN452" s="122">
        <v>37</v>
      </c>
      <c r="AO452" s="122"/>
      <c r="AP452" s="122"/>
      <c r="AQ452" s="122"/>
      <c r="AR452" s="122"/>
    </row>
    <row r="453" spans="1:44">
      <c r="A453" s="75">
        <v>452</v>
      </c>
      <c r="B453" s="98">
        <v>2019</v>
      </c>
      <c r="C453" s="120" t="s">
        <v>138</v>
      </c>
      <c r="D453" s="86" t="s">
        <v>108</v>
      </c>
      <c r="E453" s="85" t="s">
        <v>17</v>
      </c>
      <c r="F453" s="87" t="s">
        <v>37</v>
      </c>
      <c r="G453" s="91" t="s">
        <v>48</v>
      </c>
      <c r="H453" s="17">
        <v>43690</v>
      </c>
      <c r="I453" s="17">
        <v>43690</v>
      </c>
      <c r="J453" s="128"/>
      <c r="K453" s="122">
        <v>80.599999999999994</v>
      </c>
      <c r="L453" s="122">
        <v>52.8</v>
      </c>
      <c r="M453" s="122"/>
      <c r="N453" s="122">
        <v>370.2</v>
      </c>
      <c r="O453" s="122">
        <v>4.59</v>
      </c>
      <c r="P453" s="122">
        <f>AJ453*1000*AN453/100</f>
        <v>767.1</v>
      </c>
      <c r="Q453" s="122">
        <f>N453*P453/1000</f>
        <v>283.98041999999998</v>
      </c>
      <c r="R453" s="122">
        <f>K453*P453/1000</f>
        <v>61.828259999999993</v>
      </c>
      <c r="S453" s="122"/>
      <c r="T453" s="122" t="str">
        <f t="shared" si="32"/>
        <v/>
      </c>
      <c r="U453" s="122"/>
      <c r="V453" s="1"/>
      <c r="W453" s="122"/>
      <c r="X453" s="122"/>
      <c r="Y453" s="122"/>
      <c r="Z453" s="126"/>
      <c r="AA453" s="126"/>
      <c r="AB453" s="126"/>
      <c r="AG453" s="132">
        <v>1.32</v>
      </c>
      <c r="AH453" s="1">
        <f t="shared" si="30"/>
        <v>33.752400000000002</v>
      </c>
      <c r="AI453" s="1"/>
      <c r="AJ453" s="124">
        <v>25.57</v>
      </c>
      <c r="AK453" s="1" t="s">
        <v>5</v>
      </c>
      <c r="AL453" s="122"/>
      <c r="AM453" s="122"/>
      <c r="AN453" s="122">
        <v>3</v>
      </c>
      <c r="AO453" s="122"/>
      <c r="AP453" s="122">
        <v>28.44</v>
      </c>
      <c r="AQ453" s="122">
        <v>108.1</v>
      </c>
      <c r="AR453" s="122">
        <v>8.2100000000000009</v>
      </c>
    </row>
    <row r="454" spans="1:44">
      <c r="A454" s="75">
        <v>453</v>
      </c>
      <c r="B454" s="98">
        <v>2019</v>
      </c>
      <c r="C454" s="120" t="s">
        <v>138</v>
      </c>
      <c r="D454" s="86" t="s">
        <v>108</v>
      </c>
      <c r="E454" s="85" t="s">
        <v>25</v>
      </c>
      <c r="F454" s="87" t="s">
        <v>35</v>
      </c>
      <c r="G454" s="91" t="s">
        <v>36</v>
      </c>
      <c r="H454" s="17">
        <v>43725</v>
      </c>
      <c r="I454" s="17">
        <v>43725</v>
      </c>
      <c r="J454" s="128">
        <v>4</v>
      </c>
      <c r="K454" s="122"/>
      <c r="L454" s="122"/>
      <c r="M454" s="122"/>
      <c r="N454" s="122"/>
      <c r="O454" s="122"/>
      <c r="P454" s="122"/>
      <c r="Q454" s="122"/>
      <c r="R454" s="122"/>
      <c r="S454" s="122">
        <f>IF(AJ454=0,"",AJ454*AN454)</f>
        <v>740</v>
      </c>
      <c r="T454" s="122">
        <f t="shared" si="32"/>
        <v>326.19728393743401</v>
      </c>
      <c r="U454" s="122">
        <f>$S454*X454</f>
        <v>23.546489780953259</v>
      </c>
      <c r="V454" s="1">
        <v>1937.2</v>
      </c>
      <c r="W454" s="122">
        <v>0.4408071404559919</v>
      </c>
      <c r="X454" s="122">
        <v>3.1819580785071973E-2</v>
      </c>
      <c r="Y454" s="126">
        <f>$V454*W454</f>
        <v>853.93159249134749</v>
      </c>
      <c r="Z454" s="126">
        <f t="shared" si="31"/>
        <v>61.640891896841424</v>
      </c>
      <c r="AA454" s="126">
        <v>675.17648721566854</v>
      </c>
      <c r="AB454" s="126">
        <v>344.96598029451349</v>
      </c>
      <c r="AG454" s="132">
        <v>1.32</v>
      </c>
      <c r="AH454" s="1">
        <f>AJ454*AG454</f>
        <v>26.400000000000002</v>
      </c>
      <c r="AI454" s="1"/>
      <c r="AJ454" s="124">
        <v>20</v>
      </c>
      <c r="AK454" s="1" t="s">
        <v>83</v>
      </c>
      <c r="AL454" s="122"/>
      <c r="AM454" s="122"/>
      <c r="AN454" s="122">
        <v>37</v>
      </c>
      <c r="AO454" s="122"/>
      <c r="AP454" s="122"/>
      <c r="AQ454" s="122"/>
      <c r="AR454" s="122"/>
    </row>
    <row r="455" spans="1:44">
      <c r="A455" s="75">
        <v>454</v>
      </c>
      <c r="B455" s="98">
        <v>2019</v>
      </c>
      <c r="C455" s="120" t="s">
        <v>138</v>
      </c>
      <c r="D455" s="86" t="s">
        <v>108</v>
      </c>
      <c r="E455" s="85" t="s">
        <v>25</v>
      </c>
      <c r="F455" s="87" t="s">
        <v>29</v>
      </c>
      <c r="G455" s="91" t="s">
        <v>47</v>
      </c>
      <c r="H455" s="17">
        <v>43800</v>
      </c>
      <c r="I455" s="17">
        <v>43806</v>
      </c>
      <c r="J455" s="128"/>
      <c r="K455" s="122"/>
      <c r="L455" s="122"/>
      <c r="M455" s="122"/>
      <c r="N455" s="122"/>
      <c r="O455" s="122"/>
      <c r="P455" s="122"/>
      <c r="Q455" s="122"/>
      <c r="R455" s="122"/>
      <c r="S455" s="125">
        <f>AL455*AJ455*AM455</f>
        <v>316.03053435114509</v>
      </c>
      <c r="T455" s="122">
        <f t="shared" si="32"/>
        <v>131.90847988842535</v>
      </c>
      <c r="U455" s="122">
        <f>$S455*X455</f>
        <v>10.445976853220065</v>
      </c>
      <c r="V455" s="1">
        <v>1523.1</v>
      </c>
      <c r="W455" s="122">
        <v>0.41739156679670814</v>
      </c>
      <c r="X455" s="122">
        <v>3.3053694873715657E-2</v>
      </c>
      <c r="Y455" s="126">
        <f>$V455*W455</f>
        <v>635.72909538806607</v>
      </c>
      <c r="Z455" s="126">
        <f t="shared" si="31"/>
        <v>50.344082662156318</v>
      </c>
      <c r="AA455" s="126">
        <v>589.18690677162112</v>
      </c>
      <c r="AB455" s="126">
        <v>167.8713696791321</v>
      </c>
      <c r="AG455" s="132">
        <v>1.32</v>
      </c>
      <c r="AH455" s="124">
        <f>138/(2.61+1.32)*AG455</f>
        <v>46.35114503816795</v>
      </c>
      <c r="AI455" s="133" t="s">
        <v>196</v>
      </c>
      <c r="AJ455" s="124">
        <f>AH455/AG455</f>
        <v>35.114503816793899</v>
      </c>
      <c r="AK455" s="1" t="s">
        <v>66</v>
      </c>
      <c r="AL455" s="122">
        <f>I455-H455</f>
        <v>6</v>
      </c>
      <c r="AM455" s="122">
        <v>1.5</v>
      </c>
      <c r="AN455" s="122"/>
      <c r="AO455" s="122"/>
      <c r="AP455" s="122"/>
      <c r="AQ455" s="122"/>
      <c r="AR455" s="122"/>
    </row>
    <row r="456" spans="1:44">
      <c r="A456" s="75">
        <v>455</v>
      </c>
      <c r="B456" s="98">
        <v>2019</v>
      </c>
      <c r="C456" s="119" t="s">
        <v>139</v>
      </c>
      <c r="D456" s="86" t="s">
        <v>108</v>
      </c>
      <c r="E456" s="85" t="s">
        <v>26</v>
      </c>
      <c r="F456" s="87" t="s">
        <v>33</v>
      </c>
      <c r="G456" s="91" t="s">
        <v>178</v>
      </c>
      <c r="H456" s="17">
        <v>43546</v>
      </c>
      <c r="I456" s="17">
        <v>43546</v>
      </c>
      <c r="J456" s="128"/>
      <c r="K456" s="122"/>
      <c r="L456" s="122"/>
      <c r="M456" s="122"/>
      <c r="N456" s="122"/>
      <c r="O456" s="122"/>
      <c r="P456" s="122"/>
      <c r="Q456" s="122"/>
      <c r="R456" s="122"/>
      <c r="S456" s="122"/>
      <c r="T456" s="122" t="str">
        <f t="shared" si="32"/>
        <v/>
      </c>
      <c r="U456" s="122"/>
      <c r="V456" s="1"/>
      <c r="W456" s="122"/>
      <c r="X456" s="122"/>
      <c r="Y456" s="122"/>
      <c r="Z456" s="122"/>
      <c r="AA456" s="122"/>
      <c r="AB456" s="122"/>
      <c r="AG456" s="132">
        <v>2.61</v>
      </c>
      <c r="AH456" s="1">
        <v>3.26</v>
      </c>
      <c r="AI456" s="1" t="s">
        <v>177</v>
      </c>
      <c r="AJ456" s="124">
        <v>1.25</v>
      </c>
      <c r="AK456" s="1" t="s">
        <v>177</v>
      </c>
      <c r="AL456" s="122"/>
      <c r="AM456" s="122"/>
      <c r="AN456" s="122"/>
      <c r="AO456" s="122"/>
      <c r="AP456" s="122"/>
      <c r="AQ456" s="122"/>
      <c r="AR456" s="122"/>
    </row>
    <row r="457" spans="1:44">
      <c r="A457" s="75">
        <v>456</v>
      </c>
      <c r="B457" s="98">
        <v>2019</v>
      </c>
      <c r="C457" s="119" t="s">
        <v>139</v>
      </c>
      <c r="D457" s="86" t="s">
        <v>108</v>
      </c>
      <c r="E457" s="85" t="s">
        <v>25</v>
      </c>
      <c r="F457" s="87" t="s">
        <v>35</v>
      </c>
      <c r="G457" s="85" t="s">
        <v>36</v>
      </c>
      <c r="H457" s="17">
        <v>43591</v>
      </c>
      <c r="I457" s="17">
        <v>43591</v>
      </c>
      <c r="J457" s="128">
        <v>1</v>
      </c>
      <c r="K457" s="122"/>
      <c r="L457" s="122"/>
      <c r="M457" s="122"/>
      <c r="N457" s="122"/>
      <c r="O457" s="122"/>
      <c r="P457" s="122"/>
      <c r="Q457" s="122"/>
      <c r="R457" s="122"/>
      <c r="S457" s="122">
        <f>IF(AJ457=0,"",AJ457*AN457)</f>
        <v>489.14000000000004</v>
      </c>
      <c r="T457" s="122">
        <f t="shared" si="32"/>
        <v>218.47835723311658</v>
      </c>
      <c r="U457" s="122">
        <f>$S457*X457</f>
        <v>8.4487021776030851</v>
      </c>
      <c r="V457" s="1">
        <v>2290.1</v>
      </c>
      <c r="W457" s="122">
        <v>0.44665812902873731</v>
      </c>
      <c r="X457" s="122">
        <v>1.7272564455172515E-2</v>
      </c>
      <c r="Y457" s="126">
        <f>$V457*W457</f>
        <v>1022.8917812887113</v>
      </c>
      <c r="Z457" s="126">
        <f t="shared" si="31"/>
        <v>39.555899858790575</v>
      </c>
      <c r="AA457" s="126">
        <v>994.33600960641013</v>
      </c>
      <c r="AB457" s="126">
        <v>525.87837377996152</v>
      </c>
      <c r="AG457" s="132">
        <v>2.61</v>
      </c>
      <c r="AH457" s="1"/>
      <c r="AI457" s="1"/>
      <c r="AJ457" s="124">
        <v>13.22</v>
      </c>
      <c r="AK457" s="1" t="s">
        <v>83</v>
      </c>
      <c r="AL457" s="122"/>
      <c r="AM457" s="122"/>
      <c r="AN457" s="122">
        <v>37</v>
      </c>
      <c r="AO457" s="122"/>
      <c r="AP457" s="122"/>
      <c r="AQ457" s="122"/>
      <c r="AR457" s="122"/>
    </row>
    <row r="458" spans="1:44">
      <c r="A458" s="75">
        <v>457</v>
      </c>
      <c r="B458" s="98">
        <v>2019</v>
      </c>
      <c r="C458" s="119" t="s">
        <v>139</v>
      </c>
      <c r="D458" s="86" t="s">
        <v>108</v>
      </c>
      <c r="E458" s="85" t="s">
        <v>25</v>
      </c>
      <c r="F458" s="87" t="s">
        <v>35</v>
      </c>
      <c r="G458" s="91" t="s">
        <v>43</v>
      </c>
      <c r="H458" s="17">
        <v>43633</v>
      </c>
      <c r="I458" s="17">
        <v>43633</v>
      </c>
      <c r="J458" s="128">
        <v>2</v>
      </c>
      <c r="K458" s="122"/>
      <c r="L458" s="122"/>
      <c r="M458" s="122"/>
      <c r="N458" s="122"/>
      <c r="O458" s="122"/>
      <c r="P458" s="122"/>
      <c r="Q458" s="122"/>
      <c r="R458" s="122"/>
      <c r="S458" s="122">
        <f>IF(AJ458=0,"",AJ458*AN458)</f>
        <v>840</v>
      </c>
      <c r="T458" s="122">
        <f t="shared" si="32"/>
        <v>374.14370029514788</v>
      </c>
      <c r="U458" s="122">
        <f t="shared" ref="U458:U459" si="33">$S458*X458</f>
        <v>17.344104357992563</v>
      </c>
      <c r="V458" s="1">
        <v>1168.8</v>
      </c>
      <c r="W458" s="122">
        <v>0.44540916701803318</v>
      </c>
      <c r="X458" s="122">
        <v>2.0647743283324478E-2</v>
      </c>
      <c r="Y458" s="126">
        <f>$V458*W458</f>
        <v>520.59423441067713</v>
      </c>
      <c r="Z458" s="126">
        <f t="shared" si="31"/>
        <v>24.13308234954965</v>
      </c>
      <c r="AA458" s="126">
        <v>561.13036710633355</v>
      </c>
      <c r="AB458" s="126">
        <v>91.513055724624252</v>
      </c>
      <c r="AG458" s="132">
        <v>2.61</v>
      </c>
      <c r="AH458" s="1"/>
      <c r="AI458" s="1"/>
      <c r="AJ458" s="124">
        <v>12</v>
      </c>
      <c r="AK458" s="1" t="s">
        <v>83</v>
      </c>
      <c r="AL458" s="122"/>
      <c r="AM458" s="122"/>
      <c r="AN458" s="122">
        <v>70</v>
      </c>
      <c r="AO458" s="122"/>
      <c r="AP458" s="122"/>
      <c r="AQ458" s="122"/>
      <c r="AR458" s="122"/>
    </row>
    <row r="459" spans="1:44">
      <c r="A459" s="75">
        <v>458</v>
      </c>
      <c r="B459" s="98">
        <v>2019</v>
      </c>
      <c r="C459" s="119" t="s">
        <v>139</v>
      </c>
      <c r="D459" s="86" t="s">
        <v>108</v>
      </c>
      <c r="E459" s="85" t="s">
        <v>25</v>
      </c>
      <c r="F459" s="87" t="s">
        <v>35</v>
      </c>
      <c r="G459" s="91" t="s">
        <v>36</v>
      </c>
      <c r="H459" s="17">
        <v>43685</v>
      </c>
      <c r="I459" s="17">
        <v>43685</v>
      </c>
      <c r="J459" s="128">
        <v>3</v>
      </c>
      <c r="K459" s="122"/>
      <c r="L459" s="122"/>
      <c r="M459" s="122"/>
      <c r="N459" s="122"/>
      <c r="O459" s="122"/>
      <c r="P459" s="122"/>
      <c r="Q459" s="122"/>
      <c r="R459" s="122"/>
      <c r="S459" s="122">
        <f>IF(AJ459=0,"",AJ459*AN459)</f>
        <v>555</v>
      </c>
      <c r="T459" s="122">
        <f t="shared" si="32"/>
        <v>252.16406966709042</v>
      </c>
      <c r="U459" s="122">
        <f t="shared" si="33"/>
        <v>16.207419271681761</v>
      </c>
      <c r="V459" s="1">
        <v>704.8</v>
      </c>
      <c r="W459" s="122">
        <v>0.45434967507583857</v>
      </c>
      <c r="X459" s="122">
        <v>2.9202557246273443E-2</v>
      </c>
      <c r="Y459" s="126">
        <f>$V459*W459</f>
        <v>320.22565099345098</v>
      </c>
      <c r="Z459" s="126">
        <f t="shared" si="31"/>
        <v>20.581962347173523</v>
      </c>
      <c r="AA459" s="126">
        <v>322.0009661821253</v>
      </c>
      <c r="AB459" s="126">
        <v>153.51518574612334</v>
      </c>
      <c r="AG459" s="132">
        <v>2.61</v>
      </c>
      <c r="AH459" s="1"/>
      <c r="AI459" s="1"/>
      <c r="AJ459" s="124">
        <v>15</v>
      </c>
      <c r="AK459" s="1" t="s">
        <v>83</v>
      </c>
      <c r="AL459" s="122"/>
      <c r="AM459" s="122"/>
      <c r="AN459" s="122">
        <v>37</v>
      </c>
      <c r="AO459" s="122"/>
      <c r="AP459" s="122"/>
      <c r="AQ459" s="122"/>
      <c r="AR459" s="122"/>
    </row>
    <row r="460" spans="1:44">
      <c r="A460" s="75">
        <v>459</v>
      </c>
      <c r="B460" s="98">
        <v>2019</v>
      </c>
      <c r="C460" s="119" t="s">
        <v>139</v>
      </c>
      <c r="D460" s="86" t="s">
        <v>108</v>
      </c>
      <c r="E460" s="85" t="s">
        <v>23</v>
      </c>
      <c r="F460" s="87" t="s">
        <v>38</v>
      </c>
      <c r="G460" s="93" t="s">
        <v>184</v>
      </c>
      <c r="H460" s="17">
        <v>43694</v>
      </c>
      <c r="I460" s="17">
        <v>43694</v>
      </c>
      <c r="J460" s="128"/>
      <c r="K460" s="122"/>
      <c r="L460" s="122"/>
      <c r="M460" s="122"/>
      <c r="N460" s="122"/>
      <c r="O460" s="122"/>
      <c r="P460" s="122"/>
      <c r="Q460" s="122"/>
      <c r="R460" s="122"/>
      <c r="S460" s="122"/>
      <c r="T460" s="122" t="str">
        <f t="shared" si="32"/>
        <v/>
      </c>
      <c r="U460" s="122"/>
      <c r="V460" s="1"/>
      <c r="W460" s="122"/>
      <c r="X460" s="122"/>
      <c r="Y460" s="122"/>
      <c r="Z460" s="126"/>
      <c r="AA460" s="126"/>
      <c r="AB460" s="126"/>
      <c r="AG460" s="132">
        <v>2.61</v>
      </c>
      <c r="AH460" s="1"/>
      <c r="AI460" s="1"/>
      <c r="AJ460" s="124">
        <v>20</v>
      </c>
      <c r="AK460" s="1" t="s">
        <v>3</v>
      </c>
      <c r="AL460" s="122"/>
      <c r="AM460" s="122"/>
      <c r="AN460" s="122"/>
      <c r="AO460" s="122"/>
      <c r="AP460" s="122"/>
      <c r="AQ460" s="122"/>
      <c r="AR460" s="122"/>
    </row>
    <row r="461" spans="1:44">
      <c r="A461" s="75">
        <v>460</v>
      </c>
      <c r="B461" s="98">
        <v>2019</v>
      </c>
      <c r="C461" s="119" t="s">
        <v>139</v>
      </c>
      <c r="D461" s="86" t="s">
        <v>108</v>
      </c>
      <c r="E461" s="85" t="s">
        <v>25</v>
      </c>
      <c r="F461" s="87" t="s">
        <v>35</v>
      </c>
      <c r="G461" s="91" t="s">
        <v>36</v>
      </c>
      <c r="H461" s="17">
        <v>43725</v>
      </c>
      <c r="I461" s="17">
        <v>43725</v>
      </c>
      <c r="J461" s="128">
        <v>4</v>
      </c>
      <c r="K461" s="122"/>
      <c r="L461" s="122"/>
      <c r="M461" s="122"/>
      <c r="N461" s="122"/>
      <c r="O461" s="122"/>
      <c r="P461" s="122"/>
      <c r="Q461" s="122"/>
      <c r="R461" s="122"/>
      <c r="S461" s="122">
        <f>IF(AJ461=0,"",AJ461*AN461)</f>
        <v>740</v>
      </c>
      <c r="T461" s="122">
        <f t="shared" si="32"/>
        <v>335.26937135880155</v>
      </c>
      <c r="U461" s="122">
        <f t="shared" ref="U461" si="34">$S461*X461</f>
        <v>24.25154924116665</v>
      </c>
      <c r="V461" s="1">
        <v>1206</v>
      </c>
      <c r="W461" s="122">
        <v>0.45306671805243454</v>
      </c>
      <c r="X461" s="122">
        <v>3.2772363839414391E-2</v>
      </c>
      <c r="Y461" s="126">
        <f>$V461*W461</f>
        <v>546.39846197123609</v>
      </c>
      <c r="Z461" s="126">
        <f t="shared" si="31"/>
        <v>39.523470790333754</v>
      </c>
      <c r="AA461" s="126">
        <v>385.77800179204911</v>
      </c>
      <c r="AB461" s="126">
        <v>179.49592193244635</v>
      </c>
      <c r="AG461" s="132">
        <v>2.61</v>
      </c>
      <c r="AH461" s="1"/>
      <c r="AI461" s="1"/>
      <c r="AJ461" s="124">
        <v>20</v>
      </c>
      <c r="AK461" s="1" t="s">
        <v>83</v>
      </c>
      <c r="AL461" s="122"/>
      <c r="AM461" s="122"/>
      <c r="AN461" s="122">
        <v>37</v>
      </c>
      <c r="AO461" s="122"/>
      <c r="AP461" s="122"/>
      <c r="AQ461" s="122"/>
      <c r="AR461" s="122"/>
    </row>
    <row r="462" spans="1:44">
      <c r="A462" s="75">
        <v>461</v>
      </c>
      <c r="B462" s="98">
        <v>2019</v>
      </c>
      <c r="C462" s="119" t="s">
        <v>139</v>
      </c>
      <c r="D462" s="86" t="s">
        <v>108</v>
      </c>
      <c r="E462" s="85" t="s">
        <v>25</v>
      </c>
      <c r="F462" s="87" t="s">
        <v>29</v>
      </c>
      <c r="G462" s="91" t="s">
        <v>47</v>
      </c>
      <c r="H462" s="17">
        <v>43800</v>
      </c>
      <c r="I462" s="17">
        <v>43806</v>
      </c>
      <c r="J462" s="128"/>
      <c r="K462" s="122"/>
      <c r="L462" s="122"/>
      <c r="M462" s="122"/>
      <c r="N462" s="122"/>
      <c r="O462" s="122"/>
      <c r="P462" s="122"/>
      <c r="Q462" s="122"/>
      <c r="R462" s="122"/>
      <c r="S462" s="125">
        <f>AL462*AJ462*AM462</f>
        <v>316.03053435114509</v>
      </c>
      <c r="T462" s="122">
        <f t="shared" si="32"/>
        <v>140.57391839203004</v>
      </c>
      <c r="U462" s="122">
        <f>$S462*X462</f>
        <v>11.371153733532015</v>
      </c>
      <c r="V462" s="1">
        <v>865.6</v>
      </c>
      <c r="W462" s="122">
        <v>0.44481119104724476</v>
      </c>
      <c r="X462" s="122">
        <v>3.5981186934606127E-2</v>
      </c>
      <c r="Y462" s="126">
        <f>$V462*W462</f>
        <v>385.02856697049509</v>
      </c>
      <c r="Z462" s="126">
        <f t="shared" si="31"/>
        <v>31.145315410595064</v>
      </c>
      <c r="AA462" s="126">
        <v>220.56402446656827</v>
      </c>
      <c r="AB462" s="126">
        <v>85.269222759255655</v>
      </c>
      <c r="AG462" s="132">
        <v>2.61</v>
      </c>
      <c r="AH462" s="124">
        <f>138/(2.61+1.32)*AG462</f>
        <v>91.648854961832072</v>
      </c>
      <c r="AI462" s="133" t="s">
        <v>196</v>
      </c>
      <c r="AJ462" s="124">
        <f>AH462/AG462</f>
        <v>35.114503816793899</v>
      </c>
      <c r="AK462" s="1" t="s">
        <v>66</v>
      </c>
      <c r="AL462" s="122">
        <f>I462-H462</f>
        <v>6</v>
      </c>
      <c r="AM462" s="122">
        <v>1.5</v>
      </c>
      <c r="AN462" s="122"/>
      <c r="AO462" s="122"/>
      <c r="AP462" s="122"/>
      <c r="AQ462" s="122"/>
      <c r="AR462" s="122"/>
    </row>
    <row r="463" spans="1:44">
      <c r="A463" s="75">
        <v>462</v>
      </c>
      <c r="B463" s="99">
        <v>2020</v>
      </c>
      <c r="C463" s="120" t="s">
        <v>138</v>
      </c>
      <c r="D463" s="86" t="s">
        <v>108</v>
      </c>
      <c r="E463" s="85" t="s">
        <v>17</v>
      </c>
      <c r="F463" s="87" t="s">
        <v>37</v>
      </c>
      <c r="G463" s="91" t="s">
        <v>48</v>
      </c>
      <c r="H463" s="17">
        <v>43909</v>
      </c>
      <c r="I463" s="17">
        <v>43909</v>
      </c>
      <c r="J463" s="128"/>
      <c r="K463" s="122">
        <v>71</v>
      </c>
      <c r="L463" s="122">
        <v>40.9</v>
      </c>
      <c r="M463" s="122"/>
      <c r="N463" s="122">
        <v>389.8</v>
      </c>
      <c r="O463" s="122">
        <v>5.49</v>
      </c>
      <c r="P463" s="122">
        <f>AJ463*1000*AN463/100</f>
        <v>774.72</v>
      </c>
      <c r="Q463" s="122">
        <f>N463*P463/1000</f>
        <v>301.98585600000001</v>
      </c>
      <c r="R463" s="122">
        <f>K463*P463/1000</f>
        <v>55.005120000000005</v>
      </c>
      <c r="S463" s="122"/>
      <c r="T463" s="122" t="str">
        <f t="shared" si="32"/>
        <v/>
      </c>
      <c r="U463" s="122"/>
      <c r="V463" s="123"/>
      <c r="W463" s="122"/>
      <c r="X463" s="122"/>
      <c r="Y463" s="122"/>
      <c r="Z463" s="122"/>
      <c r="AA463" s="122"/>
      <c r="AB463" s="122"/>
      <c r="AG463" s="132">
        <v>1.32</v>
      </c>
      <c r="AH463" s="124"/>
      <c r="AI463" s="124"/>
      <c r="AJ463" s="124">
        <v>21.52</v>
      </c>
      <c r="AK463" s="1" t="s">
        <v>5</v>
      </c>
      <c r="AL463" s="122"/>
      <c r="AM463" s="122"/>
      <c r="AN463" s="122">
        <v>3.6</v>
      </c>
      <c r="AO463" s="122"/>
      <c r="AP463" s="122">
        <v>27.42</v>
      </c>
      <c r="AQ463" s="122">
        <v>106.34</v>
      </c>
      <c r="AR463" s="122">
        <v>7.49</v>
      </c>
    </row>
    <row r="464" spans="1:44">
      <c r="A464" s="75">
        <v>463</v>
      </c>
      <c r="B464" s="99">
        <v>2020</v>
      </c>
      <c r="C464" s="120" t="s">
        <v>138</v>
      </c>
      <c r="D464" s="86" t="s">
        <v>108</v>
      </c>
      <c r="E464" s="85" t="s">
        <v>26</v>
      </c>
      <c r="F464" s="87" t="s">
        <v>33</v>
      </c>
      <c r="G464" s="91" t="s">
        <v>178</v>
      </c>
      <c r="H464" s="17">
        <v>43927</v>
      </c>
      <c r="I464" s="17">
        <v>43927</v>
      </c>
      <c r="J464" s="128"/>
      <c r="K464" s="122"/>
      <c r="L464" s="122"/>
      <c r="M464" s="122"/>
      <c r="N464" s="122"/>
      <c r="O464" s="122"/>
      <c r="P464" s="122"/>
      <c r="Q464" s="122"/>
      <c r="R464" s="122"/>
      <c r="S464" s="122"/>
      <c r="T464" s="122" t="str">
        <f t="shared" si="32"/>
        <v/>
      </c>
      <c r="U464" s="122"/>
      <c r="V464" s="123"/>
      <c r="W464" s="122"/>
      <c r="X464" s="122"/>
      <c r="Y464" s="122"/>
      <c r="Z464" s="126"/>
      <c r="AA464" s="126"/>
      <c r="AB464" s="126"/>
      <c r="AG464" s="132">
        <v>1.32</v>
      </c>
      <c r="AH464" s="124">
        <v>0.77</v>
      </c>
      <c r="AI464" s="124"/>
      <c r="AJ464" s="124">
        <v>0.57999999999999996</v>
      </c>
      <c r="AK464" s="1" t="s">
        <v>177</v>
      </c>
      <c r="AL464" s="122"/>
      <c r="AM464" s="122"/>
      <c r="AN464" s="122"/>
      <c r="AO464" s="122"/>
      <c r="AP464" s="122"/>
      <c r="AQ464" s="122"/>
      <c r="AR464" s="122"/>
    </row>
    <row r="465" spans="1:44">
      <c r="A465" s="75">
        <v>464</v>
      </c>
      <c r="B465" s="99">
        <v>2020</v>
      </c>
      <c r="C465" s="120" t="s">
        <v>138</v>
      </c>
      <c r="D465" s="86" t="s">
        <v>108</v>
      </c>
      <c r="E465" s="85" t="s">
        <v>25</v>
      </c>
      <c r="F465" s="87" t="s">
        <v>35</v>
      </c>
      <c r="G465" s="93" t="s">
        <v>45</v>
      </c>
      <c r="H465" s="17">
        <v>43943</v>
      </c>
      <c r="I465" s="17">
        <v>43943</v>
      </c>
      <c r="J465" s="128">
        <v>1</v>
      </c>
      <c r="K465" s="122"/>
      <c r="L465" s="122"/>
      <c r="M465" s="122"/>
      <c r="N465" s="122"/>
      <c r="O465" s="122"/>
      <c r="P465" s="122"/>
      <c r="Q465" s="122"/>
      <c r="R465" s="122"/>
      <c r="S465" s="122" t="str">
        <f>IF(AJ465=0,"",AJ465*AN465)</f>
        <v/>
      </c>
      <c r="T465" s="122"/>
      <c r="U465" s="122"/>
      <c r="V465" s="122">
        <v>2101.3000000000002</v>
      </c>
      <c r="W465" s="122">
        <v>0.44251623513837302</v>
      </c>
      <c r="X465" s="122">
        <v>2.5108181488873019E-2</v>
      </c>
      <c r="Y465" s="126">
        <f>$V465*W465</f>
        <v>929.85936489626329</v>
      </c>
      <c r="Z465" s="126">
        <f t="shared" si="31"/>
        <v>52.759821762568876</v>
      </c>
      <c r="AA465" s="126">
        <v>932.24294043988266</v>
      </c>
      <c r="AB465" s="126">
        <v>311.32435535883411</v>
      </c>
      <c r="AG465" s="132">
        <v>1.32</v>
      </c>
      <c r="AH465" s="124"/>
      <c r="AI465" s="124"/>
      <c r="AJ465" s="124"/>
      <c r="AL465" s="122"/>
      <c r="AM465" s="122"/>
      <c r="AN465" s="122">
        <v>86</v>
      </c>
      <c r="AO465" s="122"/>
      <c r="AP465" s="122"/>
      <c r="AQ465" s="122"/>
      <c r="AR465" s="122"/>
    </row>
    <row r="466" spans="1:44">
      <c r="A466" s="75">
        <v>465</v>
      </c>
      <c r="B466" s="99">
        <v>2020</v>
      </c>
      <c r="C466" s="120" t="s">
        <v>138</v>
      </c>
      <c r="D466" s="86" t="s">
        <v>108</v>
      </c>
      <c r="E466" s="85" t="s">
        <v>17</v>
      </c>
      <c r="F466" s="87" t="s">
        <v>37</v>
      </c>
      <c r="G466" s="91" t="s">
        <v>48</v>
      </c>
      <c r="H466" s="17">
        <v>43951</v>
      </c>
      <c r="I466" s="17">
        <v>43951</v>
      </c>
      <c r="J466" s="128"/>
      <c r="K466" s="122">
        <v>75.7</v>
      </c>
      <c r="L466" s="122">
        <v>45</v>
      </c>
      <c r="M466" s="122"/>
      <c r="N466" s="122">
        <v>432.4</v>
      </c>
      <c r="O466" s="122">
        <v>5.71</v>
      </c>
      <c r="P466" s="122">
        <f>AJ466*1000*AN466/100</f>
        <v>1121.7599999999998</v>
      </c>
      <c r="Q466" s="122">
        <f>N466*P466/1000</f>
        <v>485.04902399999986</v>
      </c>
      <c r="R466" s="122">
        <f>K466*P466/1000</f>
        <v>84.917231999999984</v>
      </c>
      <c r="S466" s="122"/>
      <c r="T466" s="122"/>
      <c r="U466" s="122"/>
      <c r="V466" s="123"/>
      <c r="W466" s="122"/>
      <c r="X466" s="122"/>
      <c r="Y466" s="122"/>
      <c r="Z466" s="126"/>
      <c r="AA466" s="126"/>
      <c r="AB466" s="126"/>
      <c r="AG466" s="132">
        <v>1.32</v>
      </c>
      <c r="AH466" s="1">
        <f>AJ466*AG466</f>
        <v>36.115200000000002</v>
      </c>
      <c r="AI466" s="124"/>
      <c r="AJ466" s="124">
        <v>27.36</v>
      </c>
      <c r="AK466" s="1" t="s">
        <v>5</v>
      </c>
      <c r="AL466" s="122"/>
      <c r="AM466" s="122"/>
      <c r="AN466" s="122">
        <v>4.0999999999999996</v>
      </c>
      <c r="AO466" s="122"/>
      <c r="AP466" s="122">
        <v>29.22</v>
      </c>
      <c r="AQ466" s="122">
        <v>78.58</v>
      </c>
      <c r="AR466" s="122">
        <v>7.77</v>
      </c>
    </row>
    <row r="467" spans="1:44">
      <c r="A467" s="75">
        <v>466</v>
      </c>
      <c r="B467" s="99">
        <v>2020</v>
      </c>
      <c r="C467" s="120" t="s">
        <v>138</v>
      </c>
      <c r="D467" s="86" t="s">
        <v>108</v>
      </c>
      <c r="E467" s="85" t="s">
        <v>25</v>
      </c>
      <c r="F467" s="87" t="s">
        <v>35</v>
      </c>
      <c r="G467" s="86" t="s">
        <v>43</v>
      </c>
      <c r="H467" s="17">
        <v>43976</v>
      </c>
      <c r="I467" s="17">
        <v>43976</v>
      </c>
      <c r="J467" s="128">
        <v>2</v>
      </c>
      <c r="K467" s="122"/>
      <c r="L467" s="122"/>
      <c r="M467" s="122"/>
      <c r="N467" s="122"/>
      <c r="O467" s="122"/>
      <c r="P467" s="122"/>
      <c r="Q467" s="122"/>
      <c r="R467" s="122"/>
      <c r="S467" s="122">
        <f>IF(AJ467=0,"",AJ467*AN467)</f>
        <v>1750</v>
      </c>
      <c r="T467" s="122">
        <f t="shared" si="32"/>
        <v>774.30412283871669</v>
      </c>
      <c r="U467" s="122">
        <f>$S467*X467</f>
        <v>37.100581498749413</v>
      </c>
      <c r="V467" s="122">
        <v>3964.9</v>
      </c>
      <c r="W467" s="122">
        <v>0.44245949876498097</v>
      </c>
      <c r="X467" s="122">
        <v>2.1200332284999665E-2</v>
      </c>
      <c r="Y467" s="126">
        <f>$V467*W467</f>
        <v>1754.3076666532731</v>
      </c>
      <c r="Z467" s="126">
        <f t="shared" si="31"/>
        <v>84.057197476795167</v>
      </c>
      <c r="AA467" s="126">
        <v>1046.7633129477413</v>
      </c>
      <c r="AB467" s="126">
        <v>374.57897650061074</v>
      </c>
      <c r="AG467" s="132">
        <v>1.32</v>
      </c>
      <c r="AH467" s="1">
        <f>AJ467*AG467</f>
        <v>33</v>
      </c>
      <c r="AI467" s="124"/>
      <c r="AJ467" s="124">
        <v>25</v>
      </c>
      <c r="AK467" s="1" t="s">
        <v>83</v>
      </c>
      <c r="AL467" s="122"/>
      <c r="AM467" s="122"/>
      <c r="AN467" s="122">
        <v>70</v>
      </c>
      <c r="AO467" s="122"/>
      <c r="AP467" s="122"/>
      <c r="AQ467" s="122"/>
      <c r="AR467" s="122"/>
    </row>
    <row r="468" spans="1:44">
      <c r="A468" s="75">
        <v>467</v>
      </c>
      <c r="B468" s="99">
        <v>2020</v>
      </c>
      <c r="C468" s="120" t="s">
        <v>138</v>
      </c>
      <c r="D468" s="86" t="s">
        <v>108</v>
      </c>
      <c r="E468" s="85" t="s">
        <v>17</v>
      </c>
      <c r="F468" s="87" t="s">
        <v>37</v>
      </c>
      <c r="G468" s="91" t="s">
        <v>48</v>
      </c>
      <c r="H468" s="17">
        <v>43986</v>
      </c>
      <c r="I468" s="17">
        <v>43986</v>
      </c>
      <c r="J468" s="128"/>
      <c r="K468" s="122">
        <v>72.099999999999994</v>
      </c>
      <c r="L468" s="122">
        <v>44.5</v>
      </c>
      <c r="M468" s="122"/>
      <c r="N468" s="122">
        <v>359.6</v>
      </c>
      <c r="O468" s="122">
        <v>4.99</v>
      </c>
      <c r="P468" s="122">
        <f>AJ468*1000*AN468/100</f>
        <v>440</v>
      </c>
      <c r="Q468" s="122">
        <f>N468*P468/1000</f>
        <v>158.22399999999999</v>
      </c>
      <c r="R468" s="122">
        <f>K468*P468/1000</f>
        <v>31.723999999999997</v>
      </c>
      <c r="S468" s="122"/>
      <c r="T468" s="122" t="str">
        <f t="shared" si="32"/>
        <v/>
      </c>
      <c r="U468" s="122"/>
      <c r="V468" s="123"/>
      <c r="W468" s="122"/>
      <c r="X468" s="122"/>
      <c r="Y468" s="122"/>
      <c r="Z468" s="126"/>
      <c r="AA468" s="126"/>
      <c r="AB468" s="126"/>
      <c r="AG468" s="132">
        <v>1.32</v>
      </c>
      <c r="AH468" s="1">
        <f>AJ468*AG468</f>
        <v>26.400000000000002</v>
      </c>
      <c r="AI468" s="124"/>
      <c r="AJ468" s="124">
        <v>20</v>
      </c>
      <c r="AK468" s="1" t="s">
        <v>5</v>
      </c>
      <c r="AL468" s="122"/>
      <c r="AM468" s="122"/>
      <c r="AN468" s="122">
        <v>2.2000000000000002</v>
      </c>
      <c r="AO468" s="122"/>
      <c r="AP468" s="122">
        <v>29.54</v>
      </c>
      <c r="AQ468" s="122">
        <v>89.82</v>
      </c>
      <c r="AR468" s="122">
        <v>8.2100000000000009</v>
      </c>
    </row>
    <row r="469" spans="1:44">
      <c r="A469" s="75">
        <v>468</v>
      </c>
      <c r="B469" s="99">
        <v>2020</v>
      </c>
      <c r="C469" s="120" t="s">
        <v>138</v>
      </c>
      <c r="D469" s="86" t="s">
        <v>108</v>
      </c>
      <c r="E469" s="85" t="s">
        <v>25</v>
      </c>
      <c r="F469" s="87" t="s">
        <v>35</v>
      </c>
      <c r="G469" s="86" t="s">
        <v>43</v>
      </c>
      <c r="H469" s="17">
        <v>44018</v>
      </c>
      <c r="I469" s="17">
        <v>44018</v>
      </c>
      <c r="J469" s="128">
        <v>3</v>
      </c>
      <c r="K469" s="122"/>
      <c r="L469" s="122"/>
      <c r="M469" s="122"/>
      <c r="N469" s="122"/>
      <c r="O469" s="122"/>
      <c r="P469" s="122"/>
      <c r="Q469" s="122"/>
      <c r="R469" s="122"/>
      <c r="S469" s="122">
        <f>IF(AJ469=0,"",AJ469*AN469)</f>
        <v>740</v>
      </c>
      <c r="T469" s="122">
        <f t="shared" si="32"/>
        <v>325.03360439427712</v>
      </c>
      <c r="U469" s="122">
        <f>$S469*X469</f>
        <v>18.255833050307196</v>
      </c>
      <c r="V469" s="122">
        <v>2455.6</v>
      </c>
      <c r="W469" s="122">
        <v>0.43923460053280694</v>
      </c>
      <c r="X469" s="122">
        <v>2.4670044662577294E-2</v>
      </c>
      <c r="Y469" s="126">
        <f>$V469*W469</f>
        <v>1078.5844850683607</v>
      </c>
      <c r="Z469" s="126">
        <f t="shared" si="31"/>
        <v>60.579761673424798</v>
      </c>
      <c r="AA469" s="126">
        <v>844.99746219211272</v>
      </c>
      <c r="AB469" s="126">
        <v>239.59263436484173</v>
      </c>
      <c r="AG469" s="132">
        <v>1.32</v>
      </c>
      <c r="AH469" s="1">
        <f t="shared" ref="AH469:AH471" si="35">AJ469*AG469</f>
        <v>26.400000000000002</v>
      </c>
      <c r="AI469" s="124"/>
      <c r="AJ469" s="124">
        <v>20</v>
      </c>
      <c r="AK469" s="1" t="s">
        <v>83</v>
      </c>
      <c r="AL469" s="122"/>
      <c r="AM469" s="122"/>
      <c r="AN469" s="122">
        <v>37</v>
      </c>
      <c r="AO469" s="122"/>
      <c r="AP469" s="122"/>
      <c r="AQ469" s="122"/>
      <c r="AR469" s="122"/>
    </row>
    <row r="470" spans="1:44">
      <c r="A470" s="75">
        <v>469</v>
      </c>
      <c r="B470" s="99">
        <v>2020</v>
      </c>
      <c r="C470" s="120" t="s">
        <v>138</v>
      </c>
      <c r="D470" s="86" t="s">
        <v>108</v>
      </c>
      <c r="E470" s="85" t="s">
        <v>17</v>
      </c>
      <c r="F470" s="87" t="s">
        <v>37</v>
      </c>
      <c r="G470" s="91" t="s">
        <v>48</v>
      </c>
      <c r="H470" s="17">
        <v>44025</v>
      </c>
      <c r="I470" s="17">
        <v>44025</v>
      </c>
      <c r="J470" s="128"/>
      <c r="K470" s="122">
        <v>68</v>
      </c>
      <c r="L470" s="122">
        <v>37</v>
      </c>
      <c r="M470" s="122"/>
      <c r="N470" s="122">
        <v>355.9</v>
      </c>
      <c r="O470" s="122">
        <v>5.23</v>
      </c>
      <c r="P470" s="122">
        <f>AJ470*1000*AN470/100</f>
        <v>580.79999999999995</v>
      </c>
      <c r="Q470" s="122">
        <f>N470*P470/1000</f>
        <v>206.70671999999996</v>
      </c>
      <c r="R470" s="122">
        <f>K470*P470/1000</f>
        <v>39.494399999999992</v>
      </c>
      <c r="S470" s="122"/>
      <c r="T470" s="122" t="str">
        <f t="shared" si="32"/>
        <v/>
      </c>
      <c r="U470" s="122"/>
      <c r="V470" s="123"/>
      <c r="W470" s="122"/>
      <c r="X470" s="122"/>
      <c r="Y470" s="122"/>
      <c r="Z470" s="126"/>
      <c r="AA470" s="126"/>
      <c r="AB470" s="126"/>
      <c r="AG470" s="132">
        <v>1.32</v>
      </c>
      <c r="AH470" s="1">
        <f t="shared" si="35"/>
        <v>31.943999999999999</v>
      </c>
      <c r="AI470" s="124"/>
      <c r="AJ470" s="124">
        <v>24.2</v>
      </c>
      <c r="AK470" s="1" t="s">
        <v>5</v>
      </c>
      <c r="AL470" s="122"/>
      <c r="AM470" s="122"/>
      <c r="AN470" s="122">
        <v>2.4</v>
      </c>
      <c r="AO470" s="122"/>
      <c r="AP470" s="122">
        <v>30.44</v>
      </c>
      <c r="AQ470" s="122">
        <v>114.53</v>
      </c>
      <c r="AR470" s="122">
        <v>10.199999999999999</v>
      </c>
    </row>
    <row r="471" spans="1:44">
      <c r="A471" s="75">
        <v>470</v>
      </c>
      <c r="B471" s="99">
        <v>2020</v>
      </c>
      <c r="C471" s="120" t="s">
        <v>138</v>
      </c>
      <c r="D471" s="86" t="s">
        <v>108</v>
      </c>
      <c r="E471" s="85" t="s">
        <v>25</v>
      </c>
      <c r="F471" s="87" t="s">
        <v>35</v>
      </c>
      <c r="G471" s="86" t="s">
        <v>43</v>
      </c>
      <c r="H471" s="17">
        <v>44062</v>
      </c>
      <c r="I471" s="17">
        <v>44062</v>
      </c>
      <c r="J471" s="128">
        <v>4</v>
      </c>
      <c r="K471" s="122"/>
      <c r="L471" s="122"/>
      <c r="M471" s="122"/>
      <c r="N471" s="122"/>
      <c r="O471" s="122"/>
      <c r="P471" s="122"/>
      <c r="Q471" s="122"/>
      <c r="R471" s="122"/>
      <c r="S471" s="122">
        <f>IF(AJ471=0,"",AJ471*AN471)</f>
        <v>1050</v>
      </c>
      <c r="T471" s="122">
        <f t="shared" si="32"/>
        <v>458.94898821473777</v>
      </c>
      <c r="U471" s="122">
        <f>$S471*X471</f>
        <v>25.919805062529495</v>
      </c>
      <c r="V471" s="122">
        <v>2025.4</v>
      </c>
      <c r="W471" s="122">
        <v>0.43709427449022642</v>
      </c>
      <c r="X471" s="122">
        <v>2.4685528630980471E-2</v>
      </c>
      <c r="Y471" s="126">
        <f>$V471*W471</f>
        <v>885.29074355250464</v>
      </c>
      <c r="Z471" s="126">
        <f t="shared" si="31"/>
        <v>49.998069689187851</v>
      </c>
      <c r="AA471" s="126">
        <v>767.98700799196035</v>
      </c>
      <c r="AB471" s="126">
        <v>372.6741503486287</v>
      </c>
      <c r="AG471" s="132">
        <v>1.32</v>
      </c>
      <c r="AH471" s="1">
        <f t="shared" si="35"/>
        <v>19.8</v>
      </c>
      <c r="AI471" s="124"/>
      <c r="AJ471" s="124">
        <v>15</v>
      </c>
      <c r="AK471" s="1" t="s">
        <v>83</v>
      </c>
      <c r="AL471" s="122"/>
      <c r="AM471" s="122"/>
      <c r="AN471" s="122">
        <v>70</v>
      </c>
      <c r="AO471" s="122"/>
      <c r="AP471" s="122"/>
      <c r="AQ471" s="122"/>
      <c r="AR471" s="122"/>
    </row>
    <row r="472" spans="1:44">
      <c r="A472" s="75">
        <v>471</v>
      </c>
      <c r="B472" s="99">
        <v>2020</v>
      </c>
      <c r="C472" s="120" t="s">
        <v>138</v>
      </c>
      <c r="D472" s="86" t="s">
        <v>108</v>
      </c>
      <c r="E472" s="85" t="s">
        <v>25</v>
      </c>
      <c r="F472" s="87" t="s">
        <v>35</v>
      </c>
      <c r="G472" s="93" t="s">
        <v>36</v>
      </c>
      <c r="H472" s="17">
        <v>44112</v>
      </c>
      <c r="I472" s="17">
        <v>44112</v>
      </c>
      <c r="J472" s="128">
        <v>5</v>
      </c>
      <c r="K472" s="122"/>
      <c r="L472" s="122"/>
      <c r="M472" s="122"/>
      <c r="N472" s="122"/>
      <c r="O472" s="122"/>
      <c r="P472" s="122"/>
      <c r="Q472" s="122"/>
      <c r="R472" s="122"/>
      <c r="S472" s="122" t="str">
        <f>IF(AJ472=0,"",AJ472*AN472)</f>
        <v/>
      </c>
      <c r="T472" s="122"/>
      <c r="U472" s="122"/>
      <c r="V472" s="122">
        <v>1498.4</v>
      </c>
      <c r="W472" s="122">
        <v>0.43598712288416691</v>
      </c>
      <c r="X472" s="122">
        <v>2.7071862622854923E-2</v>
      </c>
      <c r="Y472" s="126">
        <f>$V472*W472</f>
        <v>653.28310492963578</v>
      </c>
      <c r="Z472" s="126">
        <f t="shared" si="31"/>
        <v>40.564478954085821</v>
      </c>
      <c r="AA472" s="126">
        <v>473.51057714338975</v>
      </c>
      <c r="AB472" s="126">
        <v>218.53130594671777</v>
      </c>
      <c r="AG472" s="132">
        <v>1.32</v>
      </c>
      <c r="AH472" s="124"/>
      <c r="AI472" s="124"/>
      <c r="AJ472" s="124"/>
      <c r="AL472" s="122"/>
      <c r="AM472" s="122"/>
      <c r="AN472" s="122">
        <v>37</v>
      </c>
      <c r="AO472" s="122"/>
      <c r="AP472" s="122"/>
      <c r="AQ472" s="122"/>
      <c r="AR472" s="122"/>
    </row>
    <row r="473" spans="1:44">
      <c r="A473" s="75">
        <v>472</v>
      </c>
      <c r="B473" s="99">
        <v>2020</v>
      </c>
      <c r="C473" s="120" t="s">
        <v>138</v>
      </c>
      <c r="D473" s="86" t="s">
        <v>108</v>
      </c>
      <c r="E473" s="85" t="s">
        <v>25</v>
      </c>
      <c r="F473" s="87" t="s">
        <v>29</v>
      </c>
      <c r="G473" s="93" t="s">
        <v>47</v>
      </c>
      <c r="H473" s="17">
        <v>44172</v>
      </c>
      <c r="I473" s="17">
        <v>44187</v>
      </c>
      <c r="J473" s="128"/>
      <c r="K473" s="122"/>
      <c r="L473" s="122"/>
      <c r="M473" s="122"/>
      <c r="N473" s="122"/>
      <c r="O473" s="122"/>
      <c r="P473" s="122"/>
      <c r="Q473" s="122"/>
      <c r="R473" s="122"/>
      <c r="S473" s="125">
        <f>AL473*AJ473*AM473</f>
        <v>274.80916030534354</v>
      </c>
      <c r="T473" s="122">
        <f>IF(S473=0,"",S473*W473)</f>
        <v>116.89135209763303</v>
      </c>
      <c r="U473" s="122">
        <f>$S473*X473</f>
        <v>8.4396262333103049</v>
      </c>
      <c r="V473" s="122">
        <v>870</v>
      </c>
      <c r="W473" s="122">
        <v>0.4253546423552757</v>
      </c>
      <c r="X473" s="122">
        <v>3.0710862126768049E-2</v>
      </c>
      <c r="Y473" s="126">
        <f>$V473*W473</f>
        <v>370.05853884908987</v>
      </c>
      <c r="Z473" s="126">
        <f t="shared" si="31"/>
        <v>26.718450050288205</v>
      </c>
      <c r="AA473" s="126">
        <v>410.95255200570296</v>
      </c>
      <c r="AB473" s="126">
        <v>109.75436481698654</v>
      </c>
      <c r="AG473" s="132">
        <v>1.32</v>
      </c>
      <c r="AH473" s="124">
        <f>48/(2.61+1.32)*AG473</f>
        <v>16.122137404580155</v>
      </c>
      <c r="AI473" s="133" t="s">
        <v>195</v>
      </c>
      <c r="AJ473" s="124">
        <f>AH473/AG473</f>
        <v>12.213740458015268</v>
      </c>
      <c r="AK473" s="1" t="s">
        <v>66</v>
      </c>
      <c r="AL473" s="122">
        <f>I473-H473</f>
        <v>15</v>
      </c>
      <c r="AM473" s="122">
        <v>1.5</v>
      </c>
      <c r="AN473" s="122"/>
      <c r="AO473" s="122"/>
      <c r="AP473" s="122"/>
      <c r="AQ473" s="122"/>
      <c r="AR473" s="122"/>
    </row>
    <row r="474" spans="1:44">
      <c r="A474" s="75">
        <v>473</v>
      </c>
      <c r="B474" s="99">
        <v>2020</v>
      </c>
      <c r="C474" s="119" t="s">
        <v>139</v>
      </c>
      <c r="D474" s="86" t="s">
        <v>108</v>
      </c>
      <c r="E474" s="85" t="s">
        <v>26</v>
      </c>
      <c r="F474" s="87" t="s">
        <v>33</v>
      </c>
      <c r="G474" s="91" t="s">
        <v>178</v>
      </c>
      <c r="H474" s="17">
        <v>43927</v>
      </c>
      <c r="I474" s="17">
        <v>43927</v>
      </c>
      <c r="J474" s="128"/>
      <c r="K474" s="122"/>
      <c r="L474" s="122"/>
      <c r="M474" s="122"/>
      <c r="N474" s="122"/>
      <c r="O474" s="122"/>
      <c r="P474" s="122"/>
      <c r="Q474" s="122"/>
      <c r="R474" s="122"/>
      <c r="S474" s="122"/>
      <c r="T474" s="122"/>
      <c r="U474" s="122"/>
      <c r="V474" s="123"/>
      <c r="W474" s="122"/>
      <c r="X474" s="122"/>
      <c r="Y474" s="122"/>
      <c r="Z474" s="126"/>
      <c r="AA474" s="126"/>
      <c r="AB474" s="126"/>
      <c r="AG474" s="132">
        <v>2.61</v>
      </c>
      <c r="AH474" s="124">
        <v>1.53</v>
      </c>
      <c r="AI474" s="124"/>
      <c r="AJ474" s="124">
        <v>0.57999999999999996</v>
      </c>
      <c r="AK474" s="1" t="s">
        <v>177</v>
      </c>
      <c r="AL474" s="122"/>
      <c r="AM474" s="122"/>
      <c r="AN474" s="122"/>
      <c r="AO474" s="122"/>
      <c r="AP474" s="122"/>
      <c r="AQ474" s="122"/>
      <c r="AR474" s="122"/>
    </row>
    <row r="475" spans="1:44">
      <c r="A475" s="75">
        <v>474</v>
      </c>
      <c r="B475" s="99">
        <v>2020</v>
      </c>
      <c r="C475" s="119" t="s">
        <v>139</v>
      </c>
      <c r="D475" s="86" t="s">
        <v>108</v>
      </c>
      <c r="E475" s="85" t="s">
        <v>25</v>
      </c>
      <c r="F475" s="87" t="s">
        <v>35</v>
      </c>
      <c r="G475" s="91" t="s">
        <v>45</v>
      </c>
      <c r="H475" s="17">
        <v>43943</v>
      </c>
      <c r="I475" s="17">
        <v>43943</v>
      </c>
      <c r="J475" s="128">
        <v>1</v>
      </c>
      <c r="K475" s="122"/>
      <c r="L475" s="122"/>
      <c r="M475" s="122"/>
      <c r="N475" s="122"/>
      <c r="O475" s="122"/>
      <c r="P475" s="122"/>
      <c r="Q475" s="122"/>
      <c r="R475" s="122"/>
      <c r="S475" s="122" t="str">
        <f>IF(AJ475=0,"",AJ475*AN475)</f>
        <v/>
      </c>
      <c r="T475" s="122"/>
      <c r="U475" s="122"/>
      <c r="V475" s="122">
        <v>1447.6</v>
      </c>
      <c r="W475" s="122">
        <v>0.44441257496036235</v>
      </c>
      <c r="X475" s="122">
        <v>2.0719945126532847E-2</v>
      </c>
      <c r="Y475" s="126">
        <f t="shared" ref="Y475:Y499" si="36">$V475*W475</f>
        <v>643.33164351262053</v>
      </c>
      <c r="Z475" s="126">
        <f t="shared" si="31"/>
        <v>29.994192565168948</v>
      </c>
      <c r="AA475" s="126">
        <v>479.92735561402048</v>
      </c>
      <c r="AB475" s="126">
        <v>176.2050371848182</v>
      </c>
      <c r="AG475" s="132">
        <v>2.61</v>
      </c>
      <c r="AH475" s="124"/>
      <c r="AI475" s="124"/>
      <c r="AJ475" s="134"/>
      <c r="AL475" s="122"/>
      <c r="AM475" s="122"/>
      <c r="AN475" s="122">
        <v>86</v>
      </c>
      <c r="AO475" s="122"/>
      <c r="AP475" s="122"/>
      <c r="AQ475" s="122"/>
      <c r="AR475" s="122"/>
    </row>
    <row r="476" spans="1:44">
      <c r="A476" s="75">
        <v>475</v>
      </c>
      <c r="B476" s="99">
        <v>2020</v>
      </c>
      <c r="C476" s="119" t="s">
        <v>139</v>
      </c>
      <c r="D476" s="86" t="s">
        <v>108</v>
      </c>
      <c r="E476" s="85" t="s">
        <v>25</v>
      </c>
      <c r="F476" s="87" t="s">
        <v>35</v>
      </c>
      <c r="G476" s="86" t="s">
        <v>43</v>
      </c>
      <c r="H476" s="17">
        <v>43976</v>
      </c>
      <c r="I476" s="17">
        <v>43976</v>
      </c>
      <c r="J476" s="128">
        <v>2</v>
      </c>
      <c r="K476" s="122"/>
      <c r="L476" s="122"/>
      <c r="M476" s="122"/>
      <c r="N476" s="122"/>
      <c r="O476" s="122"/>
      <c r="P476" s="122"/>
      <c r="Q476" s="122"/>
      <c r="R476" s="122"/>
      <c r="S476" s="122">
        <f>IF(AJ476=0,"",AJ476*AN476)</f>
        <v>1750</v>
      </c>
      <c r="T476" s="122">
        <f>IF(S476=0,"",S476*W476)</f>
        <v>780.95233873209793</v>
      </c>
      <c r="U476" s="122">
        <f>$S476*X476</f>
        <v>33.310446394747323</v>
      </c>
      <c r="V476" s="122">
        <v>1869</v>
      </c>
      <c r="W476" s="122">
        <v>0.44625847927548451</v>
      </c>
      <c r="X476" s="122">
        <v>1.903454079699847E-2</v>
      </c>
      <c r="Y476" s="126">
        <f t="shared" si="36"/>
        <v>834.0570977658806</v>
      </c>
      <c r="Z476" s="126">
        <f t="shared" si="31"/>
        <v>35.575556749590142</v>
      </c>
      <c r="AA476" s="126">
        <v>500.23927608029072</v>
      </c>
      <c r="AB476" s="126">
        <v>161.5778635196659</v>
      </c>
      <c r="AG476" s="132">
        <v>2.61</v>
      </c>
      <c r="AH476" s="124">
        <f>AJ476*AG476</f>
        <v>65.25</v>
      </c>
      <c r="AI476" s="124"/>
      <c r="AJ476" s="124">
        <v>25</v>
      </c>
      <c r="AK476" s="1" t="s">
        <v>83</v>
      </c>
      <c r="AL476" s="122"/>
      <c r="AM476" s="122"/>
      <c r="AN476" s="122">
        <v>70</v>
      </c>
      <c r="AO476" s="122"/>
      <c r="AP476" s="122"/>
      <c r="AQ476" s="122"/>
      <c r="AR476" s="122"/>
    </row>
    <row r="477" spans="1:44">
      <c r="A477" s="75">
        <v>476</v>
      </c>
      <c r="B477" s="99">
        <v>2020</v>
      </c>
      <c r="C477" s="119" t="s">
        <v>139</v>
      </c>
      <c r="D477" s="86" t="s">
        <v>108</v>
      </c>
      <c r="E477" s="85" t="s">
        <v>25</v>
      </c>
      <c r="F477" s="87" t="s">
        <v>35</v>
      </c>
      <c r="G477" s="86" t="s">
        <v>43</v>
      </c>
      <c r="H477" s="17">
        <v>44018</v>
      </c>
      <c r="I477" s="17">
        <v>44018</v>
      </c>
      <c r="J477" s="128">
        <v>3</v>
      </c>
      <c r="K477" s="122"/>
      <c r="L477" s="122"/>
      <c r="M477" s="122"/>
      <c r="N477" s="122"/>
      <c r="O477" s="122"/>
      <c r="P477" s="122"/>
      <c r="Q477" s="122"/>
      <c r="R477" s="122"/>
      <c r="S477" s="122">
        <f>IF(AJ477=0,"",AJ477*AN477)</f>
        <v>740</v>
      </c>
      <c r="T477" s="122">
        <f t="shared" ref="T477:T480" si="37">IF(S477=0,"",S477*W477)</f>
        <v>329.44249184012227</v>
      </c>
      <c r="U477" s="122">
        <f>$S477*X477</f>
        <v>15.22266829484111</v>
      </c>
      <c r="V477" s="122">
        <v>1692.9</v>
      </c>
      <c r="W477" s="122">
        <v>0.44519255654070577</v>
      </c>
      <c r="X477" s="122">
        <v>2.0571173371406907E-2</v>
      </c>
      <c r="Y477" s="126">
        <f t="shared" si="36"/>
        <v>753.6664789677609</v>
      </c>
      <c r="Z477" s="126">
        <f t="shared" si="31"/>
        <v>34.824939400454753</v>
      </c>
      <c r="AA477" s="126">
        <v>682.15254892142696</v>
      </c>
      <c r="AB477" s="126">
        <v>267.52574291824794</v>
      </c>
      <c r="AG477" s="132">
        <v>2.61</v>
      </c>
      <c r="AH477" s="124">
        <f t="shared" ref="AH477:AH478" si="38">AJ477*AG477</f>
        <v>52.199999999999996</v>
      </c>
      <c r="AI477" s="124"/>
      <c r="AJ477" s="124">
        <v>20</v>
      </c>
      <c r="AK477" s="1" t="s">
        <v>83</v>
      </c>
      <c r="AL477" s="122"/>
      <c r="AM477" s="122"/>
      <c r="AN477" s="122">
        <v>37</v>
      </c>
      <c r="AO477" s="122"/>
      <c r="AP477" s="122"/>
      <c r="AQ477" s="122"/>
      <c r="AR477" s="122"/>
    </row>
    <row r="478" spans="1:44">
      <c r="A478" s="75">
        <v>477</v>
      </c>
      <c r="B478" s="99">
        <v>2020</v>
      </c>
      <c r="C478" s="119" t="s">
        <v>139</v>
      </c>
      <c r="D478" s="86" t="s">
        <v>108</v>
      </c>
      <c r="E478" s="85" t="s">
        <v>25</v>
      </c>
      <c r="F478" s="87" t="s">
        <v>35</v>
      </c>
      <c r="G478" s="86" t="s">
        <v>43</v>
      </c>
      <c r="H478" s="17">
        <v>44062</v>
      </c>
      <c r="I478" s="17">
        <v>44062</v>
      </c>
      <c r="J478" s="128">
        <v>4</v>
      </c>
      <c r="K478" s="122"/>
      <c r="L478" s="122"/>
      <c r="M478" s="122"/>
      <c r="N478" s="122"/>
      <c r="O478" s="122"/>
      <c r="P478" s="122"/>
      <c r="Q478" s="122"/>
      <c r="R478" s="122"/>
      <c r="S478" s="122">
        <f>IF(AJ478=0,"",AJ478*AN478)</f>
        <v>1050</v>
      </c>
      <c r="T478" s="122">
        <f t="shared" si="37"/>
        <v>466.41362347498574</v>
      </c>
      <c r="U478" s="122">
        <f>$S478*X478</f>
        <v>27.074470483120169</v>
      </c>
      <c r="V478" s="122">
        <v>1713.1</v>
      </c>
      <c r="W478" s="122">
        <v>0.44420345092855784</v>
      </c>
      <c r="X478" s="122">
        <v>2.578520998392397E-2</v>
      </c>
      <c r="Y478" s="126">
        <f t="shared" si="36"/>
        <v>760.96493178571245</v>
      </c>
      <c r="Z478" s="126">
        <f t="shared" si="31"/>
        <v>44.172643223460149</v>
      </c>
      <c r="AA478" s="126">
        <v>702.64633904815696</v>
      </c>
      <c r="AB478" s="126">
        <v>268.19192877069219</v>
      </c>
      <c r="AG478" s="132">
        <v>2.61</v>
      </c>
      <c r="AH478" s="124">
        <f t="shared" si="38"/>
        <v>39.15</v>
      </c>
      <c r="AI478" s="124"/>
      <c r="AJ478" s="124">
        <v>15</v>
      </c>
      <c r="AK478" s="1" t="s">
        <v>83</v>
      </c>
      <c r="AL478" s="122"/>
      <c r="AM478" s="122"/>
      <c r="AN478" s="122">
        <v>70</v>
      </c>
      <c r="AO478" s="122"/>
      <c r="AP478" s="122"/>
      <c r="AQ478" s="122"/>
      <c r="AR478" s="122"/>
    </row>
    <row r="479" spans="1:44">
      <c r="A479" s="75">
        <v>478</v>
      </c>
      <c r="B479" s="99">
        <v>2020</v>
      </c>
      <c r="C479" s="119" t="s">
        <v>139</v>
      </c>
      <c r="D479" s="86" t="s">
        <v>108</v>
      </c>
      <c r="E479" s="85" t="s">
        <v>25</v>
      </c>
      <c r="F479" s="87" t="s">
        <v>35</v>
      </c>
      <c r="G479" s="93" t="s">
        <v>36</v>
      </c>
      <c r="H479" s="17">
        <v>44112</v>
      </c>
      <c r="I479" s="17">
        <v>44112</v>
      </c>
      <c r="J479" s="128">
        <v>5</v>
      </c>
      <c r="K479" s="122"/>
      <c r="L479" s="122"/>
      <c r="M479" s="122"/>
      <c r="N479" s="122"/>
      <c r="O479" s="122"/>
      <c r="P479" s="122"/>
      <c r="Q479" s="122"/>
      <c r="R479" s="122"/>
      <c r="S479" s="122" t="str">
        <f>IF(AJ479=0,"",AJ479*AN479)</f>
        <v/>
      </c>
      <c r="T479" s="122"/>
      <c r="U479" s="122"/>
      <c r="V479" s="122">
        <v>1297.2</v>
      </c>
      <c r="W479" s="122">
        <v>0.4440289148110288</v>
      </c>
      <c r="X479" s="122">
        <v>2.9092039859873152E-2</v>
      </c>
      <c r="Y479" s="126">
        <f t="shared" si="36"/>
        <v>575.99430829286655</v>
      </c>
      <c r="Z479" s="126">
        <f t="shared" si="31"/>
        <v>37.738194106227454</v>
      </c>
      <c r="AA479" s="126">
        <v>304.56413227211618</v>
      </c>
      <c r="AB479" s="126">
        <v>95.61800814797617</v>
      </c>
      <c r="AG479" s="132">
        <v>2.61</v>
      </c>
      <c r="AH479" s="124"/>
      <c r="AI479" s="124"/>
      <c r="AJ479" s="124"/>
      <c r="AL479" s="122"/>
      <c r="AM479" s="122"/>
      <c r="AN479" s="122">
        <v>37</v>
      </c>
      <c r="AO479" s="122"/>
      <c r="AP479" s="122"/>
      <c r="AQ479" s="122"/>
      <c r="AR479" s="122"/>
    </row>
    <row r="480" spans="1:44">
      <c r="A480" s="75">
        <v>479</v>
      </c>
      <c r="B480" s="99">
        <v>2020</v>
      </c>
      <c r="C480" s="119" t="s">
        <v>139</v>
      </c>
      <c r="D480" s="86" t="s">
        <v>108</v>
      </c>
      <c r="E480" s="85" t="s">
        <v>25</v>
      </c>
      <c r="F480" s="87" t="s">
        <v>29</v>
      </c>
      <c r="G480" s="93" t="s">
        <v>47</v>
      </c>
      <c r="H480" s="17">
        <v>44172</v>
      </c>
      <c r="I480" s="17">
        <v>44187</v>
      </c>
      <c r="J480" s="128"/>
      <c r="K480" s="122"/>
      <c r="L480" s="122"/>
      <c r="M480" s="122"/>
      <c r="N480" s="122"/>
      <c r="O480" s="122"/>
      <c r="P480" s="122"/>
      <c r="Q480" s="122"/>
      <c r="R480" s="122"/>
      <c r="S480" s="125">
        <f>AL480*AJ480*AM480</f>
        <v>274.80916030534354</v>
      </c>
      <c r="T480" s="122">
        <f t="shared" si="37"/>
        <v>119.60638432125265</v>
      </c>
      <c r="U480" s="122">
        <f>$S480*X480</f>
        <v>9.1936123540079109</v>
      </c>
      <c r="V480" s="122">
        <v>452.3</v>
      </c>
      <c r="W480" s="122">
        <v>0.43523434294678043</v>
      </c>
      <c r="X480" s="122">
        <v>3.3454533843751008E-2</v>
      </c>
      <c r="Y480" s="126">
        <f t="shared" si="36"/>
        <v>196.85649331482878</v>
      </c>
      <c r="Z480" s="126">
        <f t="shared" si="31"/>
        <v>15.131485657528581</v>
      </c>
      <c r="AA480" s="126">
        <v>280.45599773701883</v>
      </c>
      <c r="AB480" s="126">
        <v>178.64279487344785</v>
      </c>
      <c r="AG480" s="132">
        <v>2.61</v>
      </c>
      <c r="AH480" s="124">
        <f>48/(2.61+1.32)*AG480</f>
        <v>31.877862595419849</v>
      </c>
      <c r="AI480" s="133" t="s">
        <v>195</v>
      </c>
      <c r="AJ480" s="124">
        <f>AH480/AG480</f>
        <v>12.213740458015268</v>
      </c>
      <c r="AK480" s="1" t="s">
        <v>66</v>
      </c>
      <c r="AL480" s="122">
        <f>I480-H480</f>
        <v>15</v>
      </c>
      <c r="AM480" s="122">
        <v>1.5</v>
      </c>
      <c r="AN480" s="122"/>
      <c r="AO480" s="122"/>
      <c r="AP480" s="122"/>
      <c r="AQ480" s="122"/>
      <c r="AR480" s="122"/>
    </row>
    <row r="481" spans="1:44">
      <c r="A481" s="75">
        <v>480</v>
      </c>
      <c r="B481" s="106">
        <v>2021</v>
      </c>
      <c r="C481" s="120" t="s">
        <v>138</v>
      </c>
      <c r="D481" s="86" t="s">
        <v>108</v>
      </c>
      <c r="E481" s="85" t="s">
        <v>17</v>
      </c>
      <c r="F481" s="87" t="s">
        <v>37</v>
      </c>
      <c r="G481" s="93" t="s">
        <v>48</v>
      </c>
      <c r="H481" s="17">
        <v>44250</v>
      </c>
      <c r="I481" s="17">
        <v>44250</v>
      </c>
      <c r="J481" s="128"/>
      <c r="K481" s="122">
        <v>66.8</v>
      </c>
      <c r="L481" s="122">
        <v>40.299999999999997</v>
      </c>
      <c r="M481" s="122"/>
      <c r="N481" s="122">
        <v>374.6</v>
      </c>
      <c r="O481" s="122">
        <v>5.61</v>
      </c>
      <c r="P481" s="122">
        <f>AJ481*1000*AN481/100</f>
        <v>1740</v>
      </c>
      <c r="Q481" s="122">
        <f>N481*P481/1000</f>
        <v>651.80399999999997</v>
      </c>
      <c r="R481" s="122">
        <f>K481*P481/1000</f>
        <v>116.232</v>
      </c>
      <c r="S481" s="122"/>
      <c r="T481" s="122"/>
      <c r="U481" s="122"/>
      <c r="V481" s="123"/>
      <c r="W481" s="122"/>
      <c r="X481" s="122"/>
      <c r="Y481" s="126"/>
      <c r="Z481" s="126"/>
      <c r="AA481" s="126"/>
      <c r="AB481" s="126"/>
      <c r="AG481" s="132">
        <v>1.32</v>
      </c>
      <c r="AH481" s="124">
        <f t="shared" ref="AH481" si="39">AJ481*AG481</f>
        <v>79.2</v>
      </c>
      <c r="AI481" s="124"/>
      <c r="AJ481" s="124">
        <v>60</v>
      </c>
      <c r="AK481" s="1" t="s">
        <v>5</v>
      </c>
      <c r="AL481" s="122"/>
      <c r="AM481" s="122"/>
      <c r="AN481" s="122">
        <v>2.9</v>
      </c>
      <c r="AO481" s="122"/>
      <c r="AP481" s="122">
        <v>30.42</v>
      </c>
      <c r="AQ481" s="122">
        <v>74.48</v>
      </c>
      <c r="AR481" s="122">
        <v>8.1300000000000008</v>
      </c>
    </row>
    <row r="482" spans="1:44">
      <c r="A482" s="75">
        <v>481</v>
      </c>
      <c r="B482" s="106">
        <v>2021</v>
      </c>
      <c r="C482" s="120" t="s">
        <v>138</v>
      </c>
      <c r="D482" s="86" t="s">
        <v>108</v>
      </c>
      <c r="E482" s="85" t="s">
        <v>25</v>
      </c>
      <c r="F482" s="87" t="s">
        <v>35</v>
      </c>
      <c r="G482" s="93" t="s">
        <v>36</v>
      </c>
      <c r="H482" s="17">
        <v>44319</v>
      </c>
      <c r="I482" s="17">
        <v>44319</v>
      </c>
      <c r="J482" s="128">
        <v>1</v>
      </c>
      <c r="K482" s="122"/>
      <c r="L482" s="122"/>
      <c r="M482" s="122"/>
      <c r="N482" s="122"/>
      <c r="O482" s="122"/>
      <c r="P482" s="122"/>
      <c r="Q482" s="122"/>
      <c r="R482" s="122"/>
      <c r="S482" s="122"/>
      <c r="T482" s="122"/>
      <c r="U482" s="122"/>
      <c r="V482" s="122">
        <v>3711.6666666666665</v>
      </c>
      <c r="W482" s="122">
        <v>0.44053684957370121</v>
      </c>
      <c r="X482" s="122">
        <v>2.0239214365970839E-2</v>
      </c>
      <c r="Y482" s="126">
        <f t="shared" si="36"/>
        <v>1635.1259400010542</v>
      </c>
      <c r="Z482" s="126">
        <f t="shared" si="31"/>
        <v>75.121217321695099</v>
      </c>
      <c r="AA482" s="126"/>
      <c r="AB482" s="126"/>
      <c r="AG482" s="132">
        <v>1.32</v>
      </c>
      <c r="AH482" s="124"/>
      <c r="AI482" s="124"/>
      <c r="AJ482" s="124">
        <v>30</v>
      </c>
      <c r="AK482" s="1" t="s">
        <v>83</v>
      </c>
      <c r="AL482" s="122"/>
      <c r="AM482" s="122"/>
      <c r="AN482" s="122">
        <v>37</v>
      </c>
      <c r="AO482" s="122"/>
      <c r="AP482" s="122"/>
      <c r="AQ482" s="122"/>
      <c r="AR482" s="122"/>
    </row>
    <row r="483" spans="1:44">
      <c r="A483" s="75">
        <v>482</v>
      </c>
      <c r="B483" s="106">
        <v>2021</v>
      </c>
      <c r="C483" s="120" t="s">
        <v>138</v>
      </c>
      <c r="D483" s="86" t="s">
        <v>108</v>
      </c>
      <c r="E483" s="85" t="s">
        <v>17</v>
      </c>
      <c r="F483" s="87" t="s">
        <v>37</v>
      </c>
      <c r="G483" s="93" t="s">
        <v>48</v>
      </c>
      <c r="H483" s="17">
        <v>44323</v>
      </c>
      <c r="I483" s="17">
        <v>44323</v>
      </c>
      <c r="J483" s="128"/>
      <c r="K483" s="122">
        <v>78.3</v>
      </c>
      <c r="L483" s="122">
        <v>46.9</v>
      </c>
      <c r="M483" s="122"/>
      <c r="N483" s="122">
        <v>214.6</v>
      </c>
      <c r="O483" s="122">
        <v>2.74</v>
      </c>
      <c r="P483" s="122">
        <f>AJ483*1000*AN483/100</f>
        <v>643.14</v>
      </c>
      <c r="Q483" s="122">
        <f>N483*P483/1000</f>
        <v>138.017844</v>
      </c>
      <c r="R483" s="122">
        <f>K483*P483/1000</f>
        <v>50.357861999999997</v>
      </c>
      <c r="S483" s="122"/>
      <c r="T483" s="122"/>
      <c r="U483" s="122"/>
      <c r="V483" s="123"/>
      <c r="W483" s="122"/>
      <c r="X483" s="122"/>
      <c r="Y483" s="126"/>
      <c r="Z483" s="122"/>
      <c r="AG483" s="132">
        <v>1.32</v>
      </c>
      <c r="AH483" s="124">
        <f t="shared" ref="AH483" si="40">AJ483*AG483</f>
        <v>56.596319999999999</v>
      </c>
      <c r="AI483" s="124"/>
      <c r="AJ483" s="124">
        <v>42.875999999999998</v>
      </c>
      <c r="AK483" s="1" t="s">
        <v>5</v>
      </c>
      <c r="AL483" s="122"/>
      <c r="AM483" s="122"/>
      <c r="AN483" s="122">
        <v>1.5</v>
      </c>
      <c r="AO483" s="122"/>
      <c r="AP483" s="122">
        <v>22.29</v>
      </c>
      <c r="AQ483" s="122">
        <v>159.97</v>
      </c>
      <c r="AR483" s="122">
        <v>5.0599999999999996</v>
      </c>
    </row>
    <row r="484" spans="1:44">
      <c r="A484" s="75">
        <v>483</v>
      </c>
      <c r="B484" s="106">
        <v>2021</v>
      </c>
      <c r="C484" s="120" t="s">
        <v>138</v>
      </c>
      <c r="D484" s="86" t="s">
        <v>108</v>
      </c>
      <c r="E484" s="85" t="s">
        <v>25</v>
      </c>
      <c r="F484" s="87" t="s">
        <v>35</v>
      </c>
      <c r="G484" s="93" t="s">
        <v>199</v>
      </c>
      <c r="H484" s="17">
        <v>44359</v>
      </c>
      <c r="I484" s="17">
        <v>44359</v>
      </c>
      <c r="J484" s="128">
        <v>2</v>
      </c>
      <c r="K484" s="122"/>
      <c r="L484" s="122"/>
      <c r="M484" s="122"/>
      <c r="N484" s="122"/>
      <c r="O484" s="122"/>
      <c r="P484" s="122"/>
      <c r="Q484" s="122"/>
      <c r="R484" s="122"/>
      <c r="S484" s="122"/>
      <c r="T484" s="122"/>
      <c r="U484" s="122"/>
      <c r="V484" s="122">
        <v>2841.9</v>
      </c>
      <c r="W484" s="122">
        <v>0.44661075258162825</v>
      </c>
      <c r="X484" s="122"/>
      <c r="Y484" s="126">
        <f t="shared" si="36"/>
        <v>1269.2230977617294</v>
      </c>
      <c r="Z484" s="122"/>
      <c r="AG484" s="132">
        <v>1.32</v>
      </c>
      <c r="AH484" s="124"/>
      <c r="AI484" s="124"/>
      <c r="AJ484" s="124">
        <v>25</v>
      </c>
      <c r="AK484" s="1" t="s">
        <v>83</v>
      </c>
      <c r="AL484" s="122"/>
      <c r="AM484" s="122"/>
      <c r="AN484" s="122"/>
      <c r="AO484" s="122"/>
      <c r="AP484" s="122"/>
      <c r="AQ484" s="122"/>
      <c r="AR484" s="122"/>
    </row>
    <row r="485" spans="1:44">
      <c r="A485" s="75">
        <v>484</v>
      </c>
      <c r="B485" s="106">
        <v>2021</v>
      </c>
      <c r="C485" s="120" t="s">
        <v>138</v>
      </c>
      <c r="D485" s="86" t="s">
        <v>108</v>
      </c>
      <c r="E485" s="85" t="s">
        <v>17</v>
      </c>
      <c r="F485" s="87" t="s">
        <v>37</v>
      </c>
      <c r="G485" s="93" t="s">
        <v>48</v>
      </c>
      <c r="H485" s="17">
        <v>44365</v>
      </c>
      <c r="I485" s="17">
        <v>44365</v>
      </c>
      <c r="J485" s="128"/>
      <c r="K485" s="122">
        <v>145</v>
      </c>
      <c r="L485" s="122">
        <v>100</v>
      </c>
      <c r="M485" s="122"/>
      <c r="N485" s="122">
        <v>293.8</v>
      </c>
      <c r="O485" s="122">
        <v>2.0299999999999998</v>
      </c>
      <c r="P485" s="122">
        <f>AJ485*1000*AN485/100</f>
        <v>364</v>
      </c>
      <c r="Q485" s="122">
        <f>N485*P485/1000</f>
        <v>106.94319999999999</v>
      </c>
      <c r="R485" s="122">
        <f>K485*P485/1000</f>
        <v>52.78</v>
      </c>
      <c r="S485" s="122"/>
      <c r="T485" s="122"/>
      <c r="U485" s="122"/>
      <c r="V485" s="123"/>
      <c r="W485" s="122"/>
      <c r="X485" s="122"/>
      <c r="Y485" s="126"/>
      <c r="Z485" s="122"/>
      <c r="AG485" s="132">
        <v>1.32</v>
      </c>
      <c r="AH485" s="124">
        <f>AJ485*AG485</f>
        <v>36.96</v>
      </c>
      <c r="AI485" s="124"/>
      <c r="AJ485" s="124">
        <v>28</v>
      </c>
      <c r="AK485" s="1" t="s">
        <v>5</v>
      </c>
      <c r="AL485" s="122"/>
      <c r="AM485" s="122"/>
      <c r="AN485" s="122">
        <v>1.3</v>
      </c>
      <c r="AO485" s="122"/>
      <c r="AP485" s="122">
        <v>17.46</v>
      </c>
      <c r="AQ485" s="122">
        <v>214.74</v>
      </c>
      <c r="AR485" s="122">
        <v>5.12</v>
      </c>
    </row>
    <row r="486" spans="1:44">
      <c r="A486" s="75">
        <v>485</v>
      </c>
      <c r="B486" s="106">
        <v>2021</v>
      </c>
      <c r="C486" s="120" t="s">
        <v>138</v>
      </c>
      <c r="D486" s="86" t="s">
        <v>108</v>
      </c>
      <c r="E486" s="85" t="s">
        <v>25</v>
      </c>
      <c r="F486" s="87" t="s">
        <v>35</v>
      </c>
      <c r="G486" s="93" t="s">
        <v>199</v>
      </c>
      <c r="H486" s="17">
        <v>44398</v>
      </c>
      <c r="I486" s="17">
        <v>44398</v>
      </c>
      <c r="J486" s="128">
        <v>3</v>
      </c>
      <c r="K486" s="122"/>
      <c r="L486" s="122"/>
      <c r="M486" s="122"/>
      <c r="N486" s="122"/>
      <c r="O486" s="122"/>
      <c r="P486" s="122"/>
      <c r="Q486" s="122"/>
      <c r="R486" s="122"/>
      <c r="S486" s="122"/>
      <c r="T486" s="122"/>
      <c r="U486" s="122"/>
      <c r="V486" s="122">
        <v>1919.0399999999997</v>
      </c>
      <c r="W486" s="122">
        <v>0.43258305675973341</v>
      </c>
      <c r="X486" s="122"/>
      <c r="Y486" s="126">
        <f t="shared" si="36"/>
        <v>830.14418924419874</v>
      </c>
      <c r="Z486" s="122"/>
      <c r="AG486" s="132">
        <v>1.32</v>
      </c>
      <c r="AH486" s="124"/>
      <c r="AI486" s="124"/>
      <c r="AJ486" s="124">
        <v>18.95</v>
      </c>
      <c r="AK486" s="1" t="s">
        <v>83</v>
      </c>
      <c r="AL486" s="122"/>
      <c r="AM486" s="122"/>
      <c r="AN486" s="122"/>
      <c r="AO486" s="122"/>
      <c r="AP486" s="122"/>
      <c r="AQ486" s="122"/>
      <c r="AR486" s="122"/>
    </row>
    <row r="487" spans="1:44">
      <c r="A487" s="75">
        <v>486</v>
      </c>
      <c r="B487" s="106">
        <v>2021</v>
      </c>
      <c r="C487" s="120" t="s">
        <v>138</v>
      </c>
      <c r="D487" s="86" t="s">
        <v>108</v>
      </c>
      <c r="E487" s="85" t="s">
        <v>17</v>
      </c>
      <c r="F487" s="87" t="s">
        <v>37</v>
      </c>
      <c r="G487" s="93" t="s">
        <v>48</v>
      </c>
      <c r="H487" s="17">
        <v>44407</v>
      </c>
      <c r="I487" s="17">
        <v>44407</v>
      </c>
      <c r="J487" s="128"/>
      <c r="K487" s="122">
        <v>62.5</v>
      </c>
      <c r="L487" s="122">
        <v>28.4</v>
      </c>
      <c r="M487" s="122"/>
      <c r="N487" s="122">
        <v>410.2</v>
      </c>
      <c r="O487" s="122">
        <v>6.56</v>
      </c>
      <c r="P487" s="122">
        <f>AJ487*1000*AN487/100</f>
        <v>280</v>
      </c>
      <c r="Q487" s="122">
        <f>N487*P487/1000</f>
        <v>114.85599999999999</v>
      </c>
      <c r="R487" s="122">
        <f>K487*P487/1000</f>
        <v>17.5</v>
      </c>
      <c r="S487" s="122"/>
      <c r="T487" s="122"/>
      <c r="U487" s="122"/>
      <c r="V487" s="122"/>
      <c r="W487" s="122"/>
      <c r="X487" s="122"/>
      <c r="Y487" s="126"/>
      <c r="Z487" s="122"/>
      <c r="AG487" s="132">
        <v>1.32</v>
      </c>
      <c r="AH487" s="124">
        <f>AJ487*AG487</f>
        <v>36.96</v>
      </c>
      <c r="AI487" s="124"/>
      <c r="AJ487" s="124">
        <v>28</v>
      </c>
      <c r="AK487" s="1" t="s">
        <v>5</v>
      </c>
      <c r="AL487" s="122"/>
      <c r="AM487" s="122"/>
      <c r="AN487" s="122">
        <v>1</v>
      </c>
      <c r="AO487" s="122"/>
      <c r="AP487" s="122">
        <v>17.79</v>
      </c>
      <c r="AQ487" s="122">
        <v>46.78</v>
      </c>
      <c r="AR487" s="122">
        <v>7.52</v>
      </c>
    </row>
    <row r="488" spans="1:44">
      <c r="A488" s="75">
        <v>487</v>
      </c>
      <c r="B488" s="106">
        <v>2021</v>
      </c>
      <c r="C488" s="120" t="s">
        <v>138</v>
      </c>
      <c r="D488" s="86" t="s">
        <v>108</v>
      </c>
      <c r="E488" s="85" t="s">
        <v>26</v>
      </c>
      <c r="F488" s="87" t="s">
        <v>33</v>
      </c>
      <c r="G488" s="91" t="s">
        <v>187</v>
      </c>
      <c r="H488" s="17">
        <v>44421</v>
      </c>
      <c r="I488" s="17">
        <v>44421</v>
      </c>
      <c r="J488" s="128"/>
      <c r="K488" s="122"/>
      <c r="L488" s="122"/>
      <c r="M488" s="122"/>
      <c r="N488" s="122"/>
      <c r="O488" s="122"/>
      <c r="P488" s="122"/>
      <c r="Q488" s="122"/>
      <c r="R488" s="122"/>
      <c r="S488" s="122"/>
      <c r="T488" s="122"/>
      <c r="U488" s="122"/>
      <c r="V488" s="123"/>
      <c r="W488" s="122"/>
      <c r="X488" s="122"/>
      <c r="Y488" s="122"/>
      <c r="Z488" s="122"/>
      <c r="AG488" s="132">
        <v>1.32</v>
      </c>
      <c r="AH488" s="124">
        <f>AJ488*AG488</f>
        <v>3.3528000000000002</v>
      </c>
      <c r="AI488" s="124"/>
      <c r="AJ488" s="124">
        <v>2.54</v>
      </c>
      <c r="AK488" s="1" t="s">
        <v>6</v>
      </c>
      <c r="AL488" s="122"/>
      <c r="AM488" s="122"/>
      <c r="AN488" s="122"/>
      <c r="AO488" s="122"/>
      <c r="AP488" s="122"/>
      <c r="AQ488" s="122"/>
      <c r="AR488" s="122"/>
    </row>
    <row r="489" spans="1:44">
      <c r="A489" s="75">
        <v>488</v>
      </c>
      <c r="B489" s="106">
        <v>2021</v>
      </c>
      <c r="C489" s="120" t="s">
        <v>138</v>
      </c>
      <c r="D489" s="86" t="s">
        <v>108</v>
      </c>
      <c r="E489" s="85" t="s">
        <v>24</v>
      </c>
      <c r="F489" s="87" t="s">
        <v>189</v>
      </c>
      <c r="G489" s="91" t="s">
        <v>192</v>
      </c>
      <c r="H489" s="17">
        <v>44428</v>
      </c>
      <c r="I489" s="17">
        <v>44428</v>
      </c>
      <c r="J489" s="128"/>
      <c r="K489" s="122"/>
      <c r="L489" s="122"/>
      <c r="M489" s="122"/>
      <c r="N489" s="122"/>
      <c r="O489" s="122"/>
      <c r="P489" s="122"/>
      <c r="Q489" s="122"/>
      <c r="R489" s="122"/>
      <c r="S489" s="122"/>
      <c r="T489" s="122"/>
      <c r="U489" s="122"/>
      <c r="V489" s="123"/>
      <c r="W489" s="122"/>
      <c r="X489" s="122"/>
      <c r="Y489" s="122"/>
      <c r="Z489" s="122"/>
      <c r="AG489" s="132">
        <v>1.32</v>
      </c>
      <c r="AH489" s="124"/>
      <c r="AI489" s="124"/>
      <c r="AJ489" s="124"/>
      <c r="AL489" s="122"/>
      <c r="AM489" s="122"/>
      <c r="AN489" s="122"/>
      <c r="AO489" s="122"/>
      <c r="AP489" s="122"/>
      <c r="AQ489" s="122"/>
      <c r="AR489" s="122"/>
    </row>
    <row r="490" spans="1:44">
      <c r="A490" s="75">
        <v>489</v>
      </c>
      <c r="B490" s="106">
        <v>2021</v>
      </c>
      <c r="C490" s="120" t="s">
        <v>138</v>
      </c>
      <c r="D490" s="86" t="s">
        <v>108</v>
      </c>
      <c r="E490" s="87" t="s">
        <v>23</v>
      </c>
      <c r="F490" s="87" t="s">
        <v>41</v>
      </c>
      <c r="G490" s="91" t="s">
        <v>191</v>
      </c>
      <c r="H490" s="17">
        <v>44428</v>
      </c>
      <c r="I490" s="17">
        <v>44428</v>
      </c>
      <c r="J490" s="128"/>
      <c r="K490" s="122"/>
      <c r="L490" s="122"/>
      <c r="M490" s="122"/>
      <c r="N490" s="122"/>
      <c r="O490" s="122"/>
      <c r="P490" s="122"/>
      <c r="Q490" s="122"/>
      <c r="R490" s="122"/>
      <c r="S490" s="122"/>
      <c r="T490" s="122"/>
      <c r="U490" s="122"/>
      <c r="V490" s="123"/>
      <c r="W490" s="122"/>
      <c r="X490" s="122"/>
      <c r="Y490" s="122"/>
      <c r="Z490" s="122"/>
      <c r="AG490" s="132">
        <v>1.32</v>
      </c>
      <c r="AH490" s="124">
        <f>AJ490*AG490</f>
        <v>46.2</v>
      </c>
      <c r="AI490" s="124" t="s">
        <v>197</v>
      </c>
      <c r="AJ490" s="124">
        <v>35</v>
      </c>
      <c r="AK490" s="1" t="s">
        <v>3</v>
      </c>
      <c r="AL490" s="122"/>
      <c r="AM490" s="122"/>
      <c r="AN490" s="122"/>
      <c r="AO490" s="122"/>
      <c r="AP490" s="122"/>
      <c r="AQ490" s="122"/>
      <c r="AR490" s="122"/>
    </row>
    <row r="491" spans="1:44">
      <c r="A491" s="75">
        <v>490</v>
      </c>
      <c r="B491" s="106">
        <v>2021</v>
      </c>
      <c r="C491" s="120" t="s">
        <v>138</v>
      </c>
      <c r="D491" s="86" t="s">
        <v>108</v>
      </c>
      <c r="E491" s="87" t="s">
        <v>23</v>
      </c>
      <c r="F491" s="87" t="s">
        <v>41</v>
      </c>
      <c r="G491" s="91" t="s">
        <v>191</v>
      </c>
      <c r="H491" s="17">
        <v>44448</v>
      </c>
      <c r="I491" s="17">
        <v>44448</v>
      </c>
      <c r="J491" s="128"/>
      <c r="K491" s="122"/>
      <c r="L491" s="122"/>
      <c r="M491" s="122"/>
      <c r="N491" s="122"/>
      <c r="O491" s="122"/>
      <c r="P491" s="122"/>
      <c r="Q491" s="122"/>
      <c r="R491" s="122"/>
      <c r="S491" s="122"/>
      <c r="T491" s="122"/>
      <c r="U491" s="122"/>
      <c r="V491" s="123"/>
      <c r="W491" s="122"/>
      <c r="X491" s="122"/>
      <c r="Y491" s="122"/>
      <c r="Z491" s="122"/>
      <c r="AG491" s="132"/>
      <c r="AH491" s="124"/>
      <c r="AI491" s="124" t="s">
        <v>197</v>
      </c>
      <c r="AJ491" s="124">
        <v>35</v>
      </c>
      <c r="AK491" s="1" t="s">
        <v>3</v>
      </c>
      <c r="AL491" s="122"/>
      <c r="AM491" s="122"/>
      <c r="AN491" s="122"/>
      <c r="AO491" s="122"/>
      <c r="AP491" s="122"/>
      <c r="AQ491" s="122"/>
      <c r="AR491" s="122"/>
    </row>
    <row r="492" spans="1:44">
      <c r="A492" s="75">
        <v>491</v>
      </c>
      <c r="B492" s="106">
        <v>2021</v>
      </c>
      <c r="C492" s="120" t="s">
        <v>138</v>
      </c>
      <c r="D492" s="86" t="s">
        <v>108</v>
      </c>
      <c r="E492" s="87" t="s">
        <v>25</v>
      </c>
      <c r="F492" s="87" t="s">
        <v>35</v>
      </c>
      <c r="G492" s="91" t="s">
        <v>199</v>
      </c>
      <c r="H492" s="17">
        <v>44482</v>
      </c>
      <c r="I492" s="17">
        <v>44482</v>
      </c>
      <c r="J492" s="128"/>
      <c r="K492" s="122"/>
      <c r="L492" s="122"/>
      <c r="M492" s="122"/>
      <c r="N492" s="122"/>
      <c r="O492" s="122"/>
      <c r="P492" s="122"/>
      <c r="Q492" s="122"/>
      <c r="R492" s="122"/>
      <c r="S492" s="122"/>
      <c r="T492" s="122"/>
      <c r="U492" s="122"/>
      <c r="V492" s="123"/>
      <c r="W492" s="122"/>
      <c r="X492" s="122"/>
      <c r="Y492" s="122"/>
      <c r="Z492" s="122"/>
      <c r="AG492" s="132">
        <v>1.32</v>
      </c>
      <c r="AH492" s="124"/>
      <c r="AI492" s="124"/>
      <c r="AJ492" s="124">
        <v>11.37</v>
      </c>
      <c r="AK492" s="1" t="s">
        <v>83</v>
      </c>
      <c r="AL492" s="122"/>
      <c r="AM492" s="122"/>
      <c r="AN492" s="122"/>
      <c r="AO492" s="122"/>
      <c r="AP492" s="122"/>
      <c r="AQ492" s="122"/>
      <c r="AR492" s="122"/>
    </row>
    <row r="493" spans="1:44">
      <c r="A493" s="75">
        <v>492</v>
      </c>
      <c r="B493" s="106">
        <v>2021</v>
      </c>
      <c r="C493" s="120" t="s">
        <v>138</v>
      </c>
      <c r="D493" s="86" t="s">
        <v>108</v>
      </c>
      <c r="E493" s="87" t="s">
        <v>25</v>
      </c>
      <c r="F493" s="87" t="s">
        <v>29</v>
      </c>
      <c r="G493" s="91" t="s">
        <v>47</v>
      </c>
      <c r="H493" s="17">
        <v>44539</v>
      </c>
      <c r="I493" s="17">
        <v>44544</v>
      </c>
      <c r="J493" s="128"/>
      <c r="K493" s="122"/>
      <c r="L493" s="122"/>
      <c r="M493" s="122"/>
      <c r="N493" s="122"/>
      <c r="O493" s="122"/>
      <c r="P493" s="122"/>
      <c r="Q493" s="122"/>
      <c r="R493" s="122"/>
      <c r="S493" s="122"/>
      <c r="T493" s="122"/>
      <c r="U493" s="122"/>
      <c r="V493" s="123"/>
      <c r="W493" s="122"/>
      <c r="X493" s="122"/>
      <c r="Y493" s="122"/>
      <c r="Z493" s="122"/>
      <c r="AG493" s="132">
        <v>1.32</v>
      </c>
      <c r="AH493" s="124">
        <f>140/(2.61+1.32)*AG493</f>
        <v>47.022900763358784</v>
      </c>
      <c r="AI493" s="133" t="s">
        <v>194</v>
      </c>
      <c r="AJ493" s="124">
        <f>AH493/AG493</f>
        <v>35.623409669211199</v>
      </c>
      <c r="AK493" s="1" t="s">
        <v>66</v>
      </c>
      <c r="AL493" s="122"/>
      <c r="AM493" s="122"/>
      <c r="AN493" s="122"/>
      <c r="AO493" s="122"/>
      <c r="AP493" s="122"/>
      <c r="AQ493" s="122"/>
      <c r="AR493" s="122"/>
    </row>
    <row r="494" spans="1:44">
      <c r="A494" s="75">
        <v>493</v>
      </c>
      <c r="B494" s="106">
        <v>2021</v>
      </c>
      <c r="C494" s="119" t="s">
        <v>139</v>
      </c>
      <c r="D494" s="86" t="s">
        <v>108</v>
      </c>
      <c r="E494" s="85" t="s">
        <v>17</v>
      </c>
      <c r="F494" s="87" t="s">
        <v>37</v>
      </c>
      <c r="G494" s="93" t="s">
        <v>48</v>
      </c>
      <c r="H494" s="17">
        <v>44250</v>
      </c>
      <c r="I494" s="17">
        <v>44250</v>
      </c>
      <c r="J494" s="128"/>
      <c r="K494" s="122">
        <v>66.8</v>
      </c>
      <c r="L494" s="122">
        <v>40.299999999999997</v>
      </c>
      <c r="M494" s="122"/>
      <c r="N494" s="122">
        <v>374.6</v>
      </c>
      <c r="O494" s="122">
        <v>5.61</v>
      </c>
      <c r="P494" s="122">
        <f>AJ494*1000*AN494/100</f>
        <v>1160</v>
      </c>
      <c r="Q494" s="122">
        <f>N494*P494/1000</f>
        <v>434.536</v>
      </c>
      <c r="R494" s="122">
        <f>K494*P494/1000</f>
        <v>77.488</v>
      </c>
      <c r="S494" s="122"/>
      <c r="T494" s="122"/>
      <c r="U494" s="122"/>
      <c r="V494" s="123"/>
      <c r="W494" s="122"/>
      <c r="X494" s="122"/>
      <c r="Y494" s="126"/>
      <c r="Z494" s="122"/>
      <c r="AG494" s="132">
        <v>2.61</v>
      </c>
      <c r="AH494" s="124">
        <f t="shared" ref="AH494" si="41">AJ494*AG494</f>
        <v>104.39999999999999</v>
      </c>
      <c r="AI494" s="124"/>
      <c r="AJ494" s="124">
        <v>40</v>
      </c>
      <c r="AK494" s="1" t="s">
        <v>5</v>
      </c>
      <c r="AL494" s="122"/>
      <c r="AM494" s="122"/>
      <c r="AN494" s="122">
        <v>2.9</v>
      </c>
      <c r="AO494" s="122"/>
      <c r="AP494" s="122">
        <v>30.42</v>
      </c>
      <c r="AQ494" s="122">
        <v>74.48</v>
      </c>
      <c r="AR494" s="122">
        <v>8.1300000000000008</v>
      </c>
    </row>
    <row r="495" spans="1:44">
      <c r="A495" s="75">
        <v>494</v>
      </c>
      <c r="B495" s="106">
        <v>2021</v>
      </c>
      <c r="C495" s="119" t="s">
        <v>139</v>
      </c>
      <c r="D495" s="86" t="s">
        <v>108</v>
      </c>
      <c r="E495" s="85" t="s">
        <v>25</v>
      </c>
      <c r="F495" s="87" t="s">
        <v>35</v>
      </c>
      <c r="G495" s="93" t="s">
        <v>36</v>
      </c>
      <c r="H495" s="17">
        <v>44319</v>
      </c>
      <c r="I495" s="17">
        <v>44319</v>
      </c>
      <c r="J495" s="128">
        <v>1</v>
      </c>
      <c r="K495" s="122"/>
      <c r="L495" s="122"/>
      <c r="M495" s="122"/>
      <c r="N495" s="122"/>
      <c r="O495" s="122"/>
      <c r="P495" s="122"/>
      <c r="Q495" s="122"/>
      <c r="R495" s="122"/>
      <c r="S495" s="122"/>
      <c r="T495" s="122"/>
      <c r="U495" s="122"/>
      <c r="V495" s="122">
        <v>2451.6999999999998</v>
      </c>
      <c r="W495" s="122">
        <v>0.44578736124770652</v>
      </c>
      <c r="X495" s="122"/>
      <c r="Y495" s="126">
        <f t="shared" si="36"/>
        <v>1092.936873571002</v>
      </c>
      <c r="Z495" s="122"/>
      <c r="AG495" s="132">
        <v>2.61</v>
      </c>
      <c r="AH495" s="124"/>
      <c r="AI495" s="134"/>
      <c r="AJ495" s="124">
        <v>30</v>
      </c>
      <c r="AK495" s="1" t="s">
        <v>83</v>
      </c>
      <c r="AL495" s="122"/>
      <c r="AM495" s="122"/>
      <c r="AN495" s="122">
        <v>37</v>
      </c>
      <c r="AO495" s="122"/>
      <c r="AP495" s="122"/>
      <c r="AQ495" s="122"/>
      <c r="AR495" s="122"/>
    </row>
    <row r="496" spans="1:44">
      <c r="A496" s="75">
        <v>495</v>
      </c>
      <c r="B496" s="106">
        <v>2021</v>
      </c>
      <c r="C496" s="119" t="s">
        <v>139</v>
      </c>
      <c r="D496" s="86" t="s">
        <v>108</v>
      </c>
      <c r="E496" s="85" t="s">
        <v>17</v>
      </c>
      <c r="F496" s="87" t="s">
        <v>37</v>
      </c>
      <c r="G496" s="93" t="s">
        <v>48</v>
      </c>
      <c r="H496" s="17">
        <v>44323</v>
      </c>
      <c r="I496" s="17">
        <v>44323</v>
      </c>
      <c r="J496" s="128"/>
      <c r="K496" s="122">
        <v>78.3</v>
      </c>
      <c r="L496" s="122">
        <v>46.9</v>
      </c>
      <c r="M496" s="122"/>
      <c r="N496" s="122">
        <v>214.6</v>
      </c>
      <c r="O496" s="122">
        <v>2.74</v>
      </c>
      <c r="P496" s="122">
        <f>AJ496*1000*AN496/100</f>
        <v>643.14</v>
      </c>
      <c r="Q496" s="122">
        <f>N496*P496/1000</f>
        <v>138.017844</v>
      </c>
      <c r="R496" s="122">
        <f>K496*P496/1000</f>
        <v>50.357861999999997</v>
      </c>
      <c r="S496" s="122"/>
      <c r="T496" s="122"/>
      <c r="U496" s="122"/>
      <c r="V496" s="123"/>
      <c r="W496" s="122"/>
      <c r="X496" s="122"/>
      <c r="Y496" s="126"/>
      <c r="Z496" s="122"/>
      <c r="AG496" s="132">
        <v>2.61</v>
      </c>
      <c r="AH496" s="124">
        <f t="shared" ref="AH496" si="42">AJ496*AG496</f>
        <v>111.90635999999999</v>
      </c>
      <c r="AI496" s="134"/>
      <c r="AJ496" s="124">
        <v>42.875999999999998</v>
      </c>
      <c r="AK496" s="1" t="s">
        <v>5</v>
      </c>
      <c r="AL496" s="122"/>
      <c r="AM496" s="122"/>
      <c r="AN496" s="122">
        <v>1.5</v>
      </c>
      <c r="AO496" s="122"/>
      <c r="AP496" s="122">
        <v>22.29</v>
      </c>
      <c r="AQ496" s="122">
        <v>159.97</v>
      </c>
      <c r="AR496" s="122">
        <v>5.0599999999999996</v>
      </c>
    </row>
    <row r="497" spans="1:44">
      <c r="A497" s="75">
        <v>496</v>
      </c>
      <c r="B497" s="106">
        <v>2021</v>
      </c>
      <c r="C497" s="119" t="s">
        <v>139</v>
      </c>
      <c r="D497" s="86" t="s">
        <v>108</v>
      </c>
      <c r="E497" s="85" t="s">
        <v>25</v>
      </c>
      <c r="F497" s="87" t="s">
        <v>35</v>
      </c>
      <c r="G497" s="93"/>
      <c r="H497" s="17">
        <v>44359</v>
      </c>
      <c r="I497" s="17">
        <v>44359</v>
      </c>
      <c r="J497" s="128">
        <v>2</v>
      </c>
      <c r="K497" s="122"/>
      <c r="L497" s="122"/>
      <c r="M497" s="122"/>
      <c r="N497" s="122"/>
      <c r="O497" s="122"/>
      <c r="P497" s="122"/>
      <c r="Q497" s="122"/>
      <c r="R497" s="122"/>
      <c r="S497" s="122"/>
      <c r="T497" s="122"/>
      <c r="U497" s="122"/>
      <c r="V497" s="122">
        <v>2816.9</v>
      </c>
      <c r="W497" s="122">
        <v>0.43693162195530433</v>
      </c>
      <c r="X497" s="122"/>
      <c r="Y497" s="126">
        <f>$V497*W497</f>
        <v>1230.7926858858968</v>
      </c>
      <c r="Z497" s="122"/>
      <c r="AG497" s="132">
        <v>2.61</v>
      </c>
      <c r="AH497" s="124"/>
      <c r="AI497" s="134"/>
      <c r="AJ497" s="124">
        <v>25</v>
      </c>
      <c r="AK497" s="1" t="s">
        <v>83</v>
      </c>
      <c r="AL497" s="122"/>
      <c r="AM497" s="122"/>
      <c r="AN497" s="122"/>
      <c r="AO497" s="122"/>
      <c r="AP497" s="122"/>
      <c r="AQ497" s="122"/>
      <c r="AR497" s="122"/>
    </row>
    <row r="498" spans="1:44">
      <c r="A498" s="75">
        <v>497</v>
      </c>
      <c r="B498" s="106">
        <v>2021</v>
      </c>
      <c r="C498" s="119" t="s">
        <v>139</v>
      </c>
      <c r="D498" s="86" t="s">
        <v>108</v>
      </c>
      <c r="E498" s="85" t="s">
        <v>17</v>
      </c>
      <c r="F498" s="87" t="s">
        <v>37</v>
      </c>
      <c r="G498" s="93" t="s">
        <v>48</v>
      </c>
      <c r="H498" s="17">
        <v>44365</v>
      </c>
      <c r="I498" s="17">
        <v>44365</v>
      </c>
      <c r="J498" s="128"/>
      <c r="K498" s="122">
        <v>145</v>
      </c>
      <c r="L498" s="122">
        <v>100</v>
      </c>
      <c r="M498" s="122"/>
      <c r="N498" s="122">
        <v>293.8</v>
      </c>
      <c r="O498" s="122">
        <v>2.0299999999999998</v>
      </c>
      <c r="P498" s="122">
        <f>AJ498*1000*AN498/100</f>
        <v>364</v>
      </c>
      <c r="Q498" s="122">
        <f>N498*P498/1000</f>
        <v>106.94319999999999</v>
      </c>
      <c r="R498" s="122">
        <f>K498*P498/1000</f>
        <v>52.78</v>
      </c>
      <c r="S498" s="122"/>
      <c r="T498" s="122"/>
      <c r="U498" s="122"/>
      <c r="V498" s="123"/>
      <c r="W498" s="122"/>
      <c r="X498" s="122"/>
      <c r="Y498" s="126"/>
      <c r="Z498" s="122"/>
      <c r="AG498" s="132">
        <v>2.61</v>
      </c>
      <c r="AH498" s="124">
        <f t="shared" ref="AH498" si="43">AJ498*AG498</f>
        <v>73.08</v>
      </c>
      <c r="AI498" s="124"/>
      <c r="AJ498" s="124">
        <v>28</v>
      </c>
      <c r="AK498" s="1" t="s">
        <v>5</v>
      </c>
      <c r="AL498" s="122"/>
      <c r="AM498" s="122"/>
      <c r="AN498" s="122">
        <v>1.3</v>
      </c>
      <c r="AO498" s="122"/>
      <c r="AP498" s="122">
        <v>17.46</v>
      </c>
      <c r="AQ498" s="122">
        <v>214.74</v>
      </c>
      <c r="AR498" s="122">
        <v>5.12</v>
      </c>
    </row>
    <row r="499" spans="1:44">
      <c r="A499" s="75">
        <v>498</v>
      </c>
      <c r="B499" s="106">
        <v>2021</v>
      </c>
      <c r="C499" s="119" t="s">
        <v>139</v>
      </c>
      <c r="D499" s="86" t="s">
        <v>108</v>
      </c>
      <c r="E499" s="85" t="s">
        <v>25</v>
      </c>
      <c r="F499" s="87" t="s">
        <v>35</v>
      </c>
      <c r="G499" s="93"/>
      <c r="H499" s="17">
        <v>44398</v>
      </c>
      <c r="I499" s="17">
        <v>44398</v>
      </c>
      <c r="J499" s="128">
        <v>3</v>
      </c>
      <c r="K499" s="122"/>
      <c r="L499" s="122"/>
      <c r="M499" s="122"/>
      <c r="N499" s="122"/>
      <c r="O499" s="122"/>
      <c r="P499" s="122"/>
      <c r="Q499" s="122"/>
      <c r="R499" s="122"/>
      <c r="S499" s="122"/>
      <c r="T499" s="122"/>
      <c r="U499" s="122"/>
      <c r="V499" s="122">
        <v>2547.8000000000002</v>
      </c>
      <c r="W499" s="122">
        <v>0.44124763790178084</v>
      </c>
      <c r="X499" s="122"/>
      <c r="Y499" s="126">
        <f t="shared" si="36"/>
        <v>1124.2107318461574</v>
      </c>
      <c r="Z499" s="122"/>
      <c r="AG499" s="132">
        <v>2.61</v>
      </c>
      <c r="AH499" s="124"/>
      <c r="AI499" s="134"/>
      <c r="AJ499" s="1">
        <v>9.57</v>
      </c>
      <c r="AK499" s="1" t="s">
        <v>83</v>
      </c>
      <c r="AL499" s="122"/>
      <c r="AM499" s="122"/>
      <c r="AN499" s="122"/>
      <c r="AO499" s="122"/>
      <c r="AP499" s="122"/>
      <c r="AQ499" s="122"/>
      <c r="AR499" s="122"/>
    </row>
    <row r="500" spans="1:44">
      <c r="A500" s="75">
        <v>499</v>
      </c>
      <c r="B500" s="106">
        <v>2021</v>
      </c>
      <c r="C500" s="119" t="s">
        <v>139</v>
      </c>
      <c r="D500" s="86" t="s">
        <v>108</v>
      </c>
      <c r="E500" s="85" t="s">
        <v>17</v>
      </c>
      <c r="F500" s="87" t="s">
        <v>37</v>
      </c>
      <c r="G500" s="93" t="s">
        <v>48</v>
      </c>
      <c r="H500" s="17">
        <v>44406</v>
      </c>
      <c r="I500" s="17">
        <v>44406</v>
      </c>
      <c r="J500" s="128"/>
      <c r="K500" s="122">
        <v>62.5</v>
      </c>
      <c r="L500" s="122">
        <v>28.4</v>
      </c>
      <c r="M500" s="122"/>
      <c r="N500" s="122">
        <v>410.2</v>
      </c>
      <c r="O500" s="122">
        <v>6.56</v>
      </c>
      <c r="P500" s="122">
        <f>AJ500*1000*AN500/100</f>
        <v>280</v>
      </c>
      <c r="Q500" s="122">
        <f>N500*P500/1000</f>
        <v>114.85599999999999</v>
      </c>
      <c r="R500" s="122">
        <f>K500*P500/1000</f>
        <v>17.5</v>
      </c>
      <c r="S500" s="122"/>
      <c r="T500" s="122"/>
      <c r="U500" s="122"/>
      <c r="V500" s="122"/>
      <c r="W500" s="122"/>
      <c r="X500" s="122"/>
      <c r="Y500" s="126"/>
      <c r="Z500" s="122"/>
      <c r="AG500" s="132">
        <v>2.61</v>
      </c>
      <c r="AH500" s="124">
        <f>AJ500*AG500</f>
        <v>73.08</v>
      </c>
      <c r="AI500" s="134"/>
      <c r="AJ500" s="124">
        <v>28</v>
      </c>
      <c r="AK500" s="1" t="s">
        <v>5</v>
      </c>
      <c r="AL500" s="122"/>
      <c r="AM500" s="122"/>
      <c r="AN500" s="122">
        <v>1</v>
      </c>
      <c r="AO500" s="122"/>
      <c r="AP500" s="122">
        <v>17.79</v>
      </c>
      <c r="AQ500" s="122">
        <v>46.78</v>
      </c>
      <c r="AR500" s="122">
        <v>7.52</v>
      </c>
    </row>
    <row r="501" spans="1:44">
      <c r="A501" s="75">
        <v>500</v>
      </c>
      <c r="B501" s="106">
        <v>2021</v>
      </c>
      <c r="C501" s="119" t="s">
        <v>139</v>
      </c>
      <c r="D501" s="86" t="s">
        <v>108</v>
      </c>
      <c r="E501" s="85" t="s">
        <v>26</v>
      </c>
      <c r="F501" s="87" t="s">
        <v>33</v>
      </c>
      <c r="G501" s="91" t="s">
        <v>187</v>
      </c>
      <c r="H501" s="17">
        <v>44421</v>
      </c>
      <c r="I501" s="17">
        <v>44421</v>
      </c>
      <c r="J501" s="128"/>
      <c r="K501" s="122"/>
      <c r="L501" s="122"/>
      <c r="M501" s="122"/>
      <c r="N501" s="122"/>
      <c r="O501" s="122"/>
      <c r="P501" s="122"/>
      <c r="Q501" s="122"/>
      <c r="R501" s="122"/>
      <c r="S501" s="122"/>
      <c r="T501" s="122"/>
      <c r="U501" s="122"/>
      <c r="V501" s="123"/>
      <c r="W501" s="122"/>
      <c r="X501" s="122"/>
      <c r="Y501" s="122"/>
      <c r="Z501" s="122"/>
      <c r="AG501" s="132">
        <v>2.61</v>
      </c>
      <c r="AH501" s="124">
        <f>AJ501*AG501</f>
        <v>6.6293999999999995</v>
      </c>
      <c r="AI501" s="124"/>
      <c r="AJ501" s="124">
        <v>2.54</v>
      </c>
      <c r="AK501" s="1" t="s">
        <v>6</v>
      </c>
      <c r="AL501" s="122"/>
      <c r="AM501" s="122"/>
      <c r="AN501" s="122"/>
      <c r="AO501" s="122"/>
      <c r="AP501" s="122"/>
      <c r="AQ501" s="122"/>
      <c r="AR501" s="122"/>
    </row>
    <row r="502" spans="1:44">
      <c r="A502" s="75">
        <v>501</v>
      </c>
      <c r="B502" s="106">
        <v>2021</v>
      </c>
      <c r="C502" s="119" t="s">
        <v>139</v>
      </c>
      <c r="D502" s="86" t="s">
        <v>108</v>
      </c>
      <c r="E502" s="85" t="s">
        <v>24</v>
      </c>
      <c r="F502" s="87" t="s">
        <v>189</v>
      </c>
      <c r="G502" s="91" t="s">
        <v>192</v>
      </c>
      <c r="H502" s="17">
        <v>44428</v>
      </c>
      <c r="I502" s="17">
        <v>44428</v>
      </c>
      <c r="J502" s="128"/>
      <c r="K502" s="122"/>
      <c r="L502" s="122"/>
      <c r="M502" s="122"/>
      <c r="N502" s="122"/>
      <c r="O502" s="122"/>
      <c r="P502" s="122"/>
      <c r="Q502" s="122"/>
      <c r="R502" s="122"/>
      <c r="S502" s="122"/>
      <c r="T502" s="122"/>
      <c r="U502" s="122"/>
      <c r="V502" s="123"/>
      <c r="W502" s="122"/>
      <c r="X502" s="122"/>
      <c r="Y502" s="122"/>
      <c r="Z502" s="122"/>
      <c r="AG502" s="132">
        <v>2.61</v>
      </c>
      <c r="AH502" s="124"/>
      <c r="AI502" s="124"/>
      <c r="AJ502" s="124"/>
      <c r="AL502" s="122"/>
      <c r="AM502" s="122"/>
      <c r="AN502" s="122"/>
      <c r="AO502" s="122"/>
      <c r="AP502" s="122"/>
      <c r="AQ502" s="122"/>
      <c r="AR502" s="122"/>
    </row>
    <row r="503" spans="1:44">
      <c r="A503" s="75">
        <v>502</v>
      </c>
      <c r="B503" s="106">
        <v>2021</v>
      </c>
      <c r="C503" s="119" t="s">
        <v>139</v>
      </c>
      <c r="D503" s="86" t="s">
        <v>108</v>
      </c>
      <c r="E503" s="87" t="s">
        <v>23</v>
      </c>
      <c r="F503" s="87" t="s">
        <v>41</v>
      </c>
      <c r="G503" s="91" t="s">
        <v>191</v>
      </c>
      <c r="H503" s="17">
        <v>44428</v>
      </c>
      <c r="I503" s="17">
        <v>44428</v>
      </c>
      <c r="J503" s="128"/>
      <c r="K503" s="122"/>
      <c r="L503" s="122"/>
      <c r="M503" s="122"/>
      <c r="N503" s="122"/>
      <c r="O503" s="122"/>
      <c r="P503" s="122"/>
      <c r="Q503" s="122"/>
      <c r="R503" s="122"/>
      <c r="S503" s="122"/>
      <c r="T503" s="122"/>
      <c r="U503" s="122"/>
      <c r="V503" s="123"/>
      <c r="W503" s="122"/>
      <c r="X503" s="122"/>
      <c r="Y503" s="122"/>
      <c r="Z503" s="122"/>
      <c r="AG503" s="132">
        <v>2.61</v>
      </c>
      <c r="AH503" s="124">
        <f>AJ503*AG503</f>
        <v>91.35</v>
      </c>
      <c r="AI503" s="124" t="s">
        <v>197</v>
      </c>
      <c r="AJ503" s="124">
        <v>35</v>
      </c>
      <c r="AK503" s="1" t="s">
        <v>3</v>
      </c>
      <c r="AL503" s="122"/>
      <c r="AM503" s="122"/>
      <c r="AN503" s="122"/>
      <c r="AO503" s="122"/>
      <c r="AP503" s="122"/>
      <c r="AQ503" s="122"/>
      <c r="AR503" s="122"/>
    </row>
    <row r="504" spans="1:44">
      <c r="A504" s="75">
        <v>503</v>
      </c>
      <c r="B504" s="106">
        <v>2021</v>
      </c>
      <c r="C504" s="119" t="s">
        <v>139</v>
      </c>
      <c r="D504" s="86" t="s">
        <v>108</v>
      </c>
      <c r="E504" s="87" t="s">
        <v>25</v>
      </c>
      <c r="F504" s="87" t="s">
        <v>35</v>
      </c>
      <c r="G504" s="93" t="s">
        <v>36</v>
      </c>
      <c r="H504" s="17">
        <v>44483</v>
      </c>
      <c r="I504" s="17">
        <v>44483</v>
      </c>
      <c r="J504" s="128"/>
      <c r="K504" s="122"/>
      <c r="L504" s="122"/>
      <c r="M504" s="122"/>
      <c r="N504" s="122"/>
      <c r="O504" s="122"/>
      <c r="P504" s="122"/>
      <c r="Q504" s="122"/>
      <c r="R504" s="122"/>
      <c r="S504" s="122"/>
      <c r="T504" s="122"/>
      <c r="U504" s="122"/>
      <c r="V504" s="123"/>
      <c r="W504" s="122"/>
      <c r="X504" s="122"/>
      <c r="Y504" s="122"/>
      <c r="Z504" s="122"/>
      <c r="AG504" s="132">
        <v>2.61</v>
      </c>
      <c r="AH504" s="124"/>
      <c r="AI504" s="134"/>
      <c r="AJ504" s="1">
        <v>5.75</v>
      </c>
      <c r="AK504" s="1" t="s">
        <v>83</v>
      </c>
      <c r="AL504" s="122"/>
      <c r="AM504" s="122"/>
      <c r="AN504" s="122"/>
      <c r="AO504" s="122"/>
      <c r="AP504" s="122"/>
      <c r="AQ504" s="122"/>
      <c r="AR504" s="122"/>
    </row>
    <row r="505" spans="1:44">
      <c r="A505" s="75">
        <v>504</v>
      </c>
      <c r="B505" s="106">
        <v>2021</v>
      </c>
      <c r="C505" s="119" t="s">
        <v>139</v>
      </c>
      <c r="D505" s="86" t="s">
        <v>108</v>
      </c>
      <c r="E505" s="87" t="s">
        <v>25</v>
      </c>
      <c r="F505" s="87" t="s">
        <v>29</v>
      </c>
      <c r="G505" s="93" t="s">
        <v>47</v>
      </c>
      <c r="H505" s="17">
        <v>44539</v>
      </c>
      <c r="I505" s="17">
        <v>44544</v>
      </c>
      <c r="J505" s="128"/>
      <c r="K505" s="122"/>
      <c r="L505" s="122"/>
      <c r="M505" s="122"/>
      <c r="N505" s="122"/>
      <c r="O505" s="122"/>
      <c r="P505" s="122"/>
      <c r="Q505" s="122"/>
      <c r="R505" s="122"/>
      <c r="S505" s="122"/>
      <c r="T505" s="122"/>
      <c r="U505" s="122"/>
      <c r="V505" s="123"/>
      <c r="W505" s="122"/>
      <c r="X505" s="122"/>
      <c r="Y505" s="122"/>
      <c r="Z505" s="122"/>
      <c r="AG505" s="132">
        <f>2.61</f>
        <v>2.61</v>
      </c>
      <c r="AH505" s="124">
        <f>140/(2.61+1.32)*AG505</f>
        <v>92.977099236641223</v>
      </c>
      <c r="AI505" s="133" t="s">
        <v>194</v>
      </c>
      <c r="AJ505" s="124">
        <f>AH505/AG505</f>
        <v>35.623409669211199</v>
      </c>
      <c r="AK505" s="1" t="s">
        <v>66</v>
      </c>
      <c r="AL505" s="122"/>
      <c r="AM505" s="122"/>
      <c r="AN505" s="122"/>
      <c r="AO505" s="122"/>
      <c r="AP505" s="122"/>
      <c r="AQ505" s="122"/>
      <c r="AR505" s="122"/>
    </row>
    <row r="506" spans="1:44" s="131" customFormat="1">
      <c r="A506" s="163">
        <v>505</v>
      </c>
      <c r="B506" s="162">
        <v>2022</v>
      </c>
      <c r="C506" s="120" t="s">
        <v>138</v>
      </c>
      <c r="D506" s="86" t="s">
        <v>108</v>
      </c>
      <c r="E506" s="85" t="s">
        <v>17</v>
      </c>
      <c r="F506" s="87" t="s">
        <v>37</v>
      </c>
      <c r="G506" s="93" t="s">
        <v>48</v>
      </c>
      <c r="H506" s="164">
        <v>44634</v>
      </c>
      <c r="I506" s="164">
        <v>44634</v>
      </c>
      <c r="J506" s="129"/>
      <c r="K506" s="122">
        <v>59.8</v>
      </c>
      <c r="L506" s="122">
        <v>32</v>
      </c>
      <c r="M506" s="122"/>
      <c r="N506" s="122">
        <v>373.8</v>
      </c>
      <c r="O506" s="122">
        <v>6.25</v>
      </c>
      <c r="P506" s="122">
        <f>AJ506*1000*AN506/100</f>
        <v>1381.5</v>
      </c>
      <c r="Q506" s="122">
        <f>N506*P506/1000</f>
        <v>516.40470000000005</v>
      </c>
      <c r="R506" s="122">
        <f>K506*P506/1000</f>
        <v>82.613699999999994</v>
      </c>
      <c r="S506" s="122"/>
      <c r="T506" s="122"/>
      <c r="U506" s="122"/>
      <c r="V506" s="123"/>
      <c r="W506" s="122"/>
      <c r="X506" s="122"/>
      <c r="Y506" s="126"/>
      <c r="Z506" s="126"/>
      <c r="AA506" s="126"/>
      <c r="AB506" s="126"/>
      <c r="AC506" s="24"/>
      <c r="AD506" s="24"/>
      <c r="AG506" s="132">
        <v>1.32</v>
      </c>
      <c r="AH506" s="124">
        <f>AJ506*AG506</f>
        <v>40.524000000000001</v>
      </c>
      <c r="AI506" s="124"/>
      <c r="AJ506" s="124">
        <v>30.7</v>
      </c>
      <c r="AK506" s="1" t="s">
        <v>5</v>
      </c>
      <c r="AL506" s="122"/>
      <c r="AM506" s="122"/>
      <c r="AN506" s="122">
        <v>4.5</v>
      </c>
      <c r="AO506" s="122"/>
      <c r="AP506" s="122">
        <v>34.35</v>
      </c>
      <c r="AQ506" s="122">
        <v>49.15</v>
      </c>
      <c r="AR506" s="122">
        <v>9.08</v>
      </c>
    </row>
    <row r="507" spans="1:44" s="131" customFormat="1">
      <c r="A507" s="163">
        <v>506</v>
      </c>
      <c r="B507" s="162">
        <v>2022</v>
      </c>
      <c r="C507" s="120" t="s">
        <v>138</v>
      </c>
      <c r="D507" s="86" t="s">
        <v>108</v>
      </c>
      <c r="E507" s="85" t="s">
        <v>25</v>
      </c>
      <c r="F507" s="87" t="s">
        <v>35</v>
      </c>
      <c r="G507" s="93" t="s">
        <v>199</v>
      </c>
      <c r="H507" s="164">
        <v>44691</v>
      </c>
      <c r="I507" s="164">
        <v>44691</v>
      </c>
      <c r="J507" s="129">
        <v>1</v>
      </c>
      <c r="K507" s="122"/>
      <c r="L507" s="122"/>
      <c r="M507" s="122"/>
      <c r="N507" s="122"/>
      <c r="O507" s="122"/>
      <c r="P507" s="122"/>
      <c r="Q507" s="122"/>
      <c r="R507" s="122"/>
      <c r="S507" s="122"/>
      <c r="T507" s="122"/>
      <c r="U507" s="122"/>
      <c r="V507" s="122"/>
      <c r="W507" s="122"/>
      <c r="X507" s="122"/>
      <c r="Y507" s="126"/>
      <c r="Z507" s="126"/>
      <c r="AA507" s="126"/>
      <c r="AB507" s="126"/>
      <c r="AC507" s="24"/>
      <c r="AD507" s="24"/>
      <c r="AG507" s="132">
        <v>1.32</v>
      </c>
      <c r="AH507" s="124"/>
      <c r="AI507" s="124"/>
      <c r="AJ507" s="124"/>
      <c r="AK507" s="1"/>
      <c r="AL507" s="122"/>
      <c r="AM507" s="122"/>
      <c r="AN507" s="122"/>
      <c r="AO507" s="122"/>
      <c r="AP507" s="122"/>
      <c r="AQ507" s="122"/>
      <c r="AR507" s="122"/>
    </row>
    <row r="508" spans="1:44" s="131" customFormat="1">
      <c r="A508" s="163">
        <v>507</v>
      </c>
      <c r="B508" s="162">
        <v>2022</v>
      </c>
      <c r="C508" s="120" t="s">
        <v>138</v>
      </c>
      <c r="D508" s="86" t="s">
        <v>108</v>
      </c>
      <c r="E508" s="85" t="s">
        <v>17</v>
      </c>
      <c r="F508" s="87" t="s">
        <v>37</v>
      </c>
      <c r="G508" s="93" t="s">
        <v>48</v>
      </c>
      <c r="H508" s="164">
        <v>44704</v>
      </c>
      <c r="I508" s="164">
        <v>44704</v>
      </c>
      <c r="J508" s="129"/>
      <c r="K508" s="122">
        <v>76.2</v>
      </c>
      <c r="L508" s="122">
        <v>46.5</v>
      </c>
      <c r="M508" s="122"/>
      <c r="N508" s="122">
        <v>374.9</v>
      </c>
      <c r="O508" s="122">
        <v>4.92</v>
      </c>
      <c r="P508" s="122">
        <f>AJ508*1000*AN508/100</f>
        <v>745.3</v>
      </c>
      <c r="Q508" s="122">
        <f>N508*P508/1000</f>
        <v>279.41296999999997</v>
      </c>
      <c r="R508" s="122">
        <f>K508*P508/1000</f>
        <v>56.79186</v>
      </c>
      <c r="S508" s="122"/>
      <c r="T508" s="122"/>
      <c r="U508" s="122"/>
      <c r="V508" s="123"/>
      <c r="W508" s="122"/>
      <c r="X508" s="122"/>
      <c r="Y508" s="126"/>
      <c r="Z508" s="122"/>
      <c r="AA508" s="24"/>
      <c r="AB508" s="24"/>
      <c r="AC508" s="24"/>
      <c r="AD508" s="24"/>
      <c r="AG508" s="132">
        <v>1.32</v>
      </c>
      <c r="AH508" s="124">
        <f>AJ508*AG508</f>
        <v>33.923999999999999</v>
      </c>
      <c r="AI508" s="124"/>
      <c r="AJ508" s="124">
        <v>25.7</v>
      </c>
      <c r="AK508" s="1" t="s">
        <v>5</v>
      </c>
      <c r="AL508" s="122"/>
      <c r="AM508" s="122"/>
      <c r="AN508" s="122">
        <v>2.9</v>
      </c>
      <c r="AO508" s="122"/>
      <c r="AP508" s="122">
        <v>32.590000000000003</v>
      </c>
      <c r="AQ508" s="122">
        <v>79.69</v>
      </c>
      <c r="AR508" s="122">
        <v>7.53</v>
      </c>
    </row>
    <row r="509" spans="1:44" s="131" customFormat="1">
      <c r="A509" s="163">
        <v>508</v>
      </c>
      <c r="B509" s="162">
        <v>2022</v>
      </c>
      <c r="C509" s="120" t="s">
        <v>138</v>
      </c>
      <c r="D509" s="86" t="s">
        <v>108</v>
      </c>
      <c r="E509" s="85" t="s">
        <v>25</v>
      </c>
      <c r="F509" s="87" t="s">
        <v>35</v>
      </c>
      <c r="G509" s="93" t="s">
        <v>199</v>
      </c>
      <c r="H509" s="164">
        <v>44722</v>
      </c>
      <c r="I509" s="164">
        <v>44722</v>
      </c>
      <c r="J509" s="129">
        <v>2</v>
      </c>
      <c r="K509" s="122"/>
      <c r="L509" s="122"/>
      <c r="M509" s="122"/>
      <c r="N509" s="122"/>
      <c r="O509" s="122"/>
      <c r="P509" s="122"/>
      <c r="Q509" s="122"/>
      <c r="R509" s="122"/>
      <c r="S509" s="122"/>
      <c r="T509" s="122"/>
      <c r="U509" s="122"/>
      <c r="V509" s="123"/>
      <c r="W509" s="122"/>
      <c r="X509" s="122"/>
      <c r="Y509" s="126"/>
      <c r="Z509" s="122"/>
      <c r="AA509" s="24"/>
      <c r="AB509" s="24"/>
      <c r="AC509" s="24"/>
      <c r="AD509" s="24"/>
      <c r="AG509" s="132">
        <v>1.32</v>
      </c>
      <c r="AH509" s="124"/>
      <c r="AI509" s="124"/>
      <c r="AJ509" s="124"/>
      <c r="AK509" s="1"/>
      <c r="AL509" s="122"/>
      <c r="AM509" s="122"/>
      <c r="AN509" s="122"/>
      <c r="AO509" s="122"/>
      <c r="AP509" s="122"/>
      <c r="AQ509" s="122"/>
      <c r="AR509" s="122"/>
    </row>
    <row r="510" spans="1:44" s="131" customFormat="1">
      <c r="A510" s="163">
        <v>509</v>
      </c>
      <c r="B510" s="162">
        <v>2022</v>
      </c>
      <c r="C510" s="120" t="s">
        <v>138</v>
      </c>
      <c r="D510" s="86" t="s">
        <v>108</v>
      </c>
      <c r="E510" s="85" t="s">
        <v>17</v>
      </c>
      <c r="F510" s="87" t="s">
        <v>37</v>
      </c>
      <c r="G510" s="93" t="s">
        <v>48</v>
      </c>
      <c r="H510" s="164">
        <v>44739</v>
      </c>
      <c r="I510" s="164">
        <v>44739</v>
      </c>
      <c r="J510" s="129"/>
      <c r="K510" s="122">
        <v>60</v>
      </c>
      <c r="L510" s="122">
        <v>33.200000000000003</v>
      </c>
      <c r="M510" s="122"/>
      <c r="N510" s="122">
        <v>414.4</v>
      </c>
      <c r="O510" s="122">
        <v>6.9</v>
      </c>
      <c r="P510" s="122">
        <f>AJ510*1000*AN510/100</f>
        <v>1308.0000000000002</v>
      </c>
      <c r="Q510" s="122">
        <f>N510*P510/1000</f>
        <v>542.03520000000003</v>
      </c>
      <c r="R510" s="122">
        <f>K510*P510/1000</f>
        <v>78.480000000000018</v>
      </c>
      <c r="S510" s="122"/>
      <c r="T510" s="122"/>
      <c r="U510" s="122"/>
      <c r="V510" s="123"/>
      <c r="W510" s="122"/>
      <c r="X510" s="122"/>
      <c r="Y510" s="126"/>
      <c r="Z510" s="122"/>
      <c r="AA510" s="24"/>
      <c r="AB510" s="24"/>
      <c r="AC510" s="24"/>
      <c r="AD510" s="24"/>
      <c r="AG510" s="132">
        <v>1.32</v>
      </c>
      <c r="AH510" s="124">
        <f>AJ510*AG510</f>
        <v>43.164000000000009</v>
      </c>
      <c r="AI510" s="124"/>
      <c r="AJ510" s="124">
        <v>32.700000000000003</v>
      </c>
      <c r="AK510" s="1" t="s">
        <v>5</v>
      </c>
      <c r="AL510" s="122"/>
      <c r="AM510" s="122"/>
      <c r="AN510" s="122">
        <v>4</v>
      </c>
      <c r="AO510" s="122"/>
      <c r="AP510" s="122">
        <v>29.13</v>
      </c>
      <c r="AQ510" s="122">
        <v>60.88</v>
      </c>
      <c r="AR510" s="122">
        <v>7.85</v>
      </c>
    </row>
    <row r="511" spans="1:44" s="131" customFormat="1">
      <c r="A511" s="163">
        <v>510</v>
      </c>
      <c r="B511" s="162">
        <v>2022</v>
      </c>
      <c r="C511" s="120" t="s">
        <v>138</v>
      </c>
      <c r="D511" s="86" t="s">
        <v>108</v>
      </c>
      <c r="E511" s="85" t="s">
        <v>25</v>
      </c>
      <c r="F511" s="87" t="s">
        <v>35</v>
      </c>
      <c r="G511" s="1" t="s">
        <v>199</v>
      </c>
      <c r="H511" s="164">
        <v>44748</v>
      </c>
      <c r="I511" s="164">
        <v>44748</v>
      </c>
      <c r="J511" s="129">
        <v>3</v>
      </c>
      <c r="K511" s="122"/>
      <c r="L511" s="122"/>
      <c r="M511" s="122"/>
      <c r="N511" s="122"/>
      <c r="O511" s="122"/>
      <c r="P511" s="122"/>
      <c r="Q511" s="122"/>
      <c r="R511" s="122"/>
      <c r="S511" s="122"/>
      <c r="T511" s="122"/>
      <c r="U511" s="122"/>
      <c r="V511" s="123"/>
      <c r="W511" s="122"/>
      <c r="X511" s="122"/>
      <c r="Y511" s="126"/>
      <c r="Z511" s="122"/>
      <c r="AA511" s="24"/>
      <c r="AB511" s="24"/>
      <c r="AC511" s="24"/>
      <c r="AD511" s="24"/>
      <c r="AG511" s="132">
        <v>1.32</v>
      </c>
      <c r="AH511" s="124"/>
      <c r="AI511" s="124"/>
      <c r="AJ511" s="124"/>
      <c r="AK511" s="1"/>
      <c r="AL511" s="122"/>
      <c r="AM511" s="122"/>
      <c r="AN511" s="122"/>
      <c r="AO511" s="122"/>
      <c r="AP511" s="122"/>
      <c r="AQ511" s="122"/>
      <c r="AR511" s="122"/>
    </row>
    <row r="512" spans="1:44" s="131" customFormat="1">
      <c r="A512" s="163">
        <v>511</v>
      </c>
      <c r="B512" s="162">
        <v>2022</v>
      </c>
      <c r="C512" s="120" t="s">
        <v>138</v>
      </c>
      <c r="D512" s="86" t="s">
        <v>108</v>
      </c>
      <c r="E512" s="85" t="s">
        <v>17</v>
      </c>
      <c r="F512" s="87" t="s">
        <v>37</v>
      </c>
      <c r="G512" s="93" t="s">
        <v>48</v>
      </c>
      <c r="H512" s="164">
        <v>44762</v>
      </c>
      <c r="I512" s="164">
        <v>44762</v>
      </c>
      <c r="J512" s="129"/>
      <c r="K512" s="122">
        <v>69.900000000000006</v>
      </c>
      <c r="L512" s="122">
        <v>46.1</v>
      </c>
      <c r="M512" s="122"/>
      <c r="N512" s="122">
        <v>385.4</v>
      </c>
      <c r="O512" s="122">
        <v>5.51</v>
      </c>
      <c r="P512" s="122">
        <f>AJ512*1000*AN512/100</f>
        <v>617.4</v>
      </c>
      <c r="Q512" s="122">
        <f>N512*P512/1000</f>
        <v>237.94595999999996</v>
      </c>
      <c r="R512" s="122">
        <f>K512*P512/1000</f>
        <v>43.156260000000003</v>
      </c>
      <c r="S512" s="122"/>
      <c r="T512" s="122"/>
      <c r="U512" s="122"/>
      <c r="V512" s="123"/>
      <c r="W512" s="122"/>
      <c r="X512" s="122"/>
      <c r="Y512" s="126"/>
      <c r="Z512" s="122"/>
      <c r="AA512" s="24"/>
      <c r="AB512" s="24"/>
      <c r="AC512" s="24"/>
      <c r="AD512" s="24"/>
      <c r="AG512" s="132">
        <v>1.32</v>
      </c>
      <c r="AH512" s="124">
        <f>AJ512*AG512</f>
        <v>38.808</v>
      </c>
      <c r="AI512" s="124"/>
      <c r="AJ512" s="124">
        <v>29.4</v>
      </c>
      <c r="AK512" s="1" t="s">
        <v>5</v>
      </c>
      <c r="AL512" s="122"/>
      <c r="AM512" s="122"/>
      <c r="AN512" s="122">
        <v>2.1</v>
      </c>
      <c r="AO512" s="122"/>
      <c r="AP512" s="122">
        <v>34.520000000000003</v>
      </c>
      <c r="AQ512" s="122">
        <v>61.15</v>
      </c>
      <c r="AR512" s="122">
        <v>8.1999999999999993</v>
      </c>
    </row>
    <row r="513" spans="1:44" s="131" customFormat="1">
      <c r="A513" s="163">
        <v>512</v>
      </c>
      <c r="B513" s="162">
        <v>2022</v>
      </c>
      <c r="C513" s="120" t="s">
        <v>138</v>
      </c>
      <c r="D513" s="86" t="s">
        <v>108</v>
      </c>
      <c r="E513" s="85" t="s">
        <v>25</v>
      </c>
      <c r="F513" s="87" t="s">
        <v>35</v>
      </c>
      <c r="G513" s="1" t="s">
        <v>199</v>
      </c>
      <c r="H513" s="164">
        <v>44782</v>
      </c>
      <c r="I513" s="164">
        <v>44789</v>
      </c>
      <c r="J513" s="129">
        <v>4</v>
      </c>
      <c r="K513" s="122"/>
      <c r="L513" s="122"/>
      <c r="M513" s="122"/>
      <c r="N513" s="122"/>
      <c r="O513" s="122"/>
      <c r="P513" s="122"/>
      <c r="Q513" s="122"/>
      <c r="R513" s="122"/>
      <c r="S513" s="122"/>
      <c r="T513" s="122"/>
      <c r="U513" s="122"/>
      <c r="V513" s="123"/>
      <c r="W513" s="122"/>
      <c r="X513" s="122"/>
      <c r="Y513" s="126"/>
      <c r="Z513" s="122"/>
      <c r="AA513" s="24"/>
      <c r="AB513" s="24"/>
      <c r="AC513" s="24"/>
      <c r="AD513" s="24"/>
      <c r="AG513" s="132">
        <v>1.32</v>
      </c>
      <c r="AH513" s="124"/>
      <c r="AI513" s="124"/>
      <c r="AJ513" s="124"/>
      <c r="AK513" s="1"/>
      <c r="AL513" s="122"/>
      <c r="AM513" s="122"/>
      <c r="AN513" s="122"/>
      <c r="AO513" s="122"/>
      <c r="AP513" s="122"/>
      <c r="AQ513" s="122"/>
      <c r="AR513" s="122"/>
    </row>
    <row r="514" spans="1:44" s="131" customFormat="1">
      <c r="A514" s="163">
        <v>513</v>
      </c>
      <c r="B514" s="162">
        <v>2022</v>
      </c>
      <c r="C514" s="120" t="s">
        <v>138</v>
      </c>
      <c r="D514" s="86" t="s">
        <v>108</v>
      </c>
      <c r="E514" s="85" t="s">
        <v>17</v>
      </c>
      <c r="F514" s="87" t="s">
        <v>37</v>
      </c>
      <c r="G514" s="93" t="s">
        <v>48</v>
      </c>
      <c r="H514" s="164">
        <v>44798</v>
      </c>
      <c r="I514" s="164">
        <v>44799</v>
      </c>
      <c r="J514" s="129"/>
      <c r="K514" s="122">
        <v>72.2</v>
      </c>
      <c r="L514" s="122">
        <v>42.4</v>
      </c>
      <c r="M514" s="122"/>
      <c r="N514" s="122">
        <v>378.2</v>
      </c>
      <c r="O514" s="122">
        <v>5.24</v>
      </c>
      <c r="P514" s="122">
        <f>AJ514*1000*AN514/100</f>
        <v>774.76</v>
      </c>
      <c r="Q514" s="122">
        <f>N514*P514/1000</f>
        <v>293.01423199999994</v>
      </c>
      <c r="R514" s="122">
        <f>K514*P514/1000</f>
        <v>55.937671999999999</v>
      </c>
      <c r="S514" s="122"/>
      <c r="T514" s="122"/>
      <c r="U514" s="122"/>
      <c r="V514" s="123"/>
      <c r="W514" s="122"/>
      <c r="X514" s="122"/>
      <c r="Y514" s="126"/>
      <c r="Z514" s="122"/>
      <c r="AA514" s="24"/>
      <c r="AB514" s="24"/>
      <c r="AC514" s="24"/>
      <c r="AD514" s="24"/>
      <c r="AG514" s="132">
        <v>1.32</v>
      </c>
      <c r="AH514" s="124">
        <f>AJ514*AG514</f>
        <v>36.524400000000007</v>
      </c>
      <c r="AI514" s="124"/>
      <c r="AJ514" s="124">
        <v>27.67</v>
      </c>
      <c r="AK514" s="1" t="s">
        <v>5</v>
      </c>
      <c r="AL514" s="122"/>
      <c r="AM514" s="122"/>
      <c r="AN514" s="122">
        <v>2.8</v>
      </c>
      <c r="AO514" s="122"/>
      <c r="AP514" s="122">
        <v>31.1</v>
      </c>
      <c r="AQ514" s="122">
        <v>70.8</v>
      </c>
      <c r="AR514" s="122">
        <v>8.23</v>
      </c>
    </row>
    <row r="515" spans="1:44" s="131" customFormat="1">
      <c r="A515" s="163">
        <v>514</v>
      </c>
      <c r="B515" s="162">
        <v>2022</v>
      </c>
      <c r="C515" s="120" t="s">
        <v>138</v>
      </c>
      <c r="D515" s="86" t="s">
        <v>108</v>
      </c>
      <c r="E515" s="85" t="s">
        <v>25</v>
      </c>
      <c r="F515" s="87" t="s">
        <v>35</v>
      </c>
      <c r="G515" s="1" t="s">
        <v>199</v>
      </c>
      <c r="H515" s="164">
        <v>44825</v>
      </c>
      <c r="I515" s="164">
        <v>44825</v>
      </c>
      <c r="J515" s="129">
        <v>5</v>
      </c>
      <c r="K515" s="122"/>
      <c r="L515" s="122"/>
      <c r="M515" s="122"/>
      <c r="N515" s="122"/>
      <c r="O515" s="122"/>
      <c r="P515" s="122"/>
      <c r="Q515" s="122"/>
      <c r="R515" s="122"/>
      <c r="S515" s="122"/>
      <c r="T515" s="122"/>
      <c r="U515" s="122"/>
      <c r="V515" s="123"/>
      <c r="W515" s="122"/>
      <c r="X515" s="122"/>
      <c r="Y515" s="126"/>
      <c r="Z515" s="122"/>
      <c r="AA515" s="24"/>
      <c r="AB515" s="24"/>
      <c r="AC515" s="24"/>
      <c r="AD515" s="24"/>
      <c r="AG515" s="132">
        <v>1.32</v>
      </c>
      <c r="AH515" s="124"/>
      <c r="AI515" s="124"/>
      <c r="AJ515" s="124"/>
      <c r="AK515" s="1"/>
      <c r="AL515" s="122"/>
      <c r="AM515" s="122"/>
      <c r="AN515" s="122"/>
      <c r="AO515" s="122"/>
      <c r="AP515" s="122"/>
      <c r="AQ515" s="122"/>
      <c r="AR515" s="122"/>
    </row>
    <row r="516" spans="1:44" s="131" customFormat="1">
      <c r="A516" s="163">
        <v>515</v>
      </c>
      <c r="B516" s="162">
        <v>2022</v>
      </c>
      <c r="C516" s="120" t="s">
        <v>138</v>
      </c>
      <c r="D516" s="86" t="s">
        <v>108</v>
      </c>
      <c r="E516" s="85" t="s">
        <v>17</v>
      </c>
      <c r="F516" s="87" t="s">
        <v>37</v>
      </c>
      <c r="G516" s="93" t="s">
        <v>48</v>
      </c>
      <c r="H516" s="164">
        <v>44839</v>
      </c>
      <c r="I516" s="164">
        <v>44841</v>
      </c>
      <c r="J516" s="129"/>
      <c r="K516" s="122">
        <v>61.3</v>
      </c>
      <c r="L516" s="122">
        <v>32.9</v>
      </c>
      <c r="M516" s="122"/>
      <c r="N516" s="122">
        <v>399.7</v>
      </c>
      <c r="O516" s="122">
        <v>6.52</v>
      </c>
      <c r="P516" s="122">
        <f>AJ516*1000*AN516/100</f>
        <v>1289.0999999999999</v>
      </c>
      <c r="Q516" s="122">
        <f>N516*P516/1000</f>
        <v>515.25326999999993</v>
      </c>
      <c r="R516" s="122">
        <f>K516*P516/1000</f>
        <v>79.021829999999994</v>
      </c>
      <c r="S516" s="122"/>
      <c r="T516" s="122"/>
      <c r="U516" s="122"/>
      <c r="V516" s="123"/>
      <c r="W516" s="122"/>
      <c r="X516" s="122"/>
      <c r="Y516" s="126"/>
      <c r="Z516" s="122"/>
      <c r="AA516" s="24"/>
      <c r="AB516" s="24"/>
      <c r="AC516" s="24"/>
      <c r="AD516" s="24"/>
      <c r="AG516" s="132">
        <v>1.32</v>
      </c>
      <c r="AH516" s="124">
        <f>AJ516*AG516</f>
        <v>56.720399999999998</v>
      </c>
      <c r="AI516" s="124"/>
      <c r="AJ516" s="124">
        <v>42.97</v>
      </c>
      <c r="AK516" s="1" t="s">
        <v>5</v>
      </c>
      <c r="AL516" s="122"/>
      <c r="AM516" s="122"/>
      <c r="AN516" s="122">
        <v>3</v>
      </c>
      <c r="AO516" s="122"/>
      <c r="AP516" s="122">
        <v>33.96</v>
      </c>
      <c r="AQ516" s="122">
        <v>72.209999999999994</v>
      </c>
      <c r="AR516" s="122">
        <v>8.81</v>
      </c>
    </row>
    <row r="517" spans="1:44" s="131" customFormat="1">
      <c r="A517" s="163">
        <v>516</v>
      </c>
      <c r="B517" s="162">
        <v>2022</v>
      </c>
      <c r="C517" s="119" t="s">
        <v>139</v>
      </c>
      <c r="D517" s="86" t="s">
        <v>108</v>
      </c>
      <c r="E517" s="85" t="s">
        <v>17</v>
      </c>
      <c r="F517" s="87" t="s">
        <v>37</v>
      </c>
      <c r="G517" s="93" t="s">
        <v>48</v>
      </c>
      <c r="H517" s="164">
        <v>44634</v>
      </c>
      <c r="I517" s="164">
        <v>44634</v>
      </c>
      <c r="J517" s="129"/>
      <c r="K517" s="122">
        <v>59.8</v>
      </c>
      <c r="L517" s="122">
        <v>32</v>
      </c>
      <c r="M517" s="122"/>
      <c r="N517" s="122">
        <v>373.8</v>
      </c>
      <c r="O517" s="122">
        <v>6.25</v>
      </c>
      <c r="P517" s="122">
        <f>AJ517*1000*AN517/100</f>
        <v>1381.5</v>
      </c>
      <c r="Q517" s="122">
        <f>N517*P517/1000</f>
        <v>516.40470000000005</v>
      </c>
      <c r="R517" s="122">
        <f>K517*P517/1000</f>
        <v>82.613699999999994</v>
      </c>
      <c r="S517" s="122"/>
      <c r="T517" s="122"/>
      <c r="U517" s="122"/>
      <c r="V517" s="123"/>
      <c r="W517" s="122"/>
      <c r="X517" s="122"/>
      <c r="Y517" s="126"/>
      <c r="Z517" s="126"/>
      <c r="AA517" s="126"/>
      <c r="AB517" s="126"/>
      <c r="AC517" s="24"/>
      <c r="AD517" s="24"/>
      <c r="AG517" s="132">
        <v>2.61</v>
      </c>
      <c r="AH517" s="124">
        <f>AJ517*AG517</f>
        <v>80.126999999999995</v>
      </c>
      <c r="AI517" s="124"/>
      <c r="AJ517" s="124">
        <v>30.7</v>
      </c>
      <c r="AK517" s="1" t="s">
        <v>5</v>
      </c>
      <c r="AL517" s="122"/>
      <c r="AM517" s="122"/>
      <c r="AN517" s="122">
        <v>4.5</v>
      </c>
      <c r="AO517" s="122"/>
      <c r="AP517" s="122">
        <v>34.35</v>
      </c>
      <c r="AQ517" s="122">
        <v>49.15</v>
      </c>
      <c r="AR517" s="122">
        <v>9.08</v>
      </c>
    </row>
    <row r="518" spans="1:44" s="131" customFormat="1">
      <c r="A518" s="163">
        <v>517</v>
      </c>
      <c r="B518" s="162">
        <v>2022</v>
      </c>
      <c r="C518" s="119" t="s">
        <v>139</v>
      </c>
      <c r="D518" s="86" t="s">
        <v>108</v>
      </c>
      <c r="E518" s="85" t="s">
        <v>25</v>
      </c>
      <c r="F518" s="87" t="s">
        <v>35</v>
      </c>
      <c r="G518" s="93" t="s">
        <v>199</v>
      </c>
      <c r="H518" s="164">
        <v>44691</v>
      </c>
      <c r="I518" s="164">
        <v>44691</v>
      </c>
      <c r="J518" s="129">
        <v>1</v>
      </c>
      <c r="K518" s="122"/>
      <c r="L518" s="122"/>
      <c r="M518" s="122"/>
      <c r="N518" s="122"/>
      <c r="O518" s="122"/>
      <c r="P518" s="122"/>
      <c r="Q518" s="122"/>
      <c r="R518" s="122"/>
      <c r="S518" s="122"/>
      <c r="T518" s="122"/>
      <c r="U518" s="122"/>
      <c r="V518" s="122"/>
      <c r="W518" s="122"/>
      <c r="X518" s="122"/>
      <c r="Y518" s="126"/>
      <c r="Z518" s="126"/>
      <c r="AA518" s="126"/>
      <c r="AB518" s="126"/>
      <c r="AC518" s="24"/>
      <c r="AD518" s="24"/>
      <c r="AG518" s="132">
        <v>2.61</v>
      </c>
      <c r="AH518" s="124"/>
      <c r="AI518" s="124"/>
      <c r="AJ518" s="124"/>
      <c r="AK518" s="1"/>
      <c r="AL518" s="122"/>
      <c r="AM518" s="122"/>
      <c r="AN518" s="122"/>
      <c r="AO518" s="122"/>
      <c r="AP518" s="122"/>
      <c r="AQ518" s="122"/>
      <c r="AR518" s="122"/>
    </row>
    <row r="519" spans="1:44" s="131" customFormat="1">
      <c r="A519" s="163">
        <v>518</v>
      </c>
      <c r="B519" s="162">
        <v>2022</v>
      </c>
      <c r="C519" s="119" t="s">
        <v>139</v>
      </c>
      <c r="D519" s="86" t="s">
        <v>108</v>
      </c>
      <c r="E519" s="85" t="s">
        <v>17</v>
      </c>
      <c r="F519" s="87" t="s">
        <v>37</v>
      </c>
      <c r="G519" s="93" t="s">
        <v>48</v>
      </c>
      <c r="H519" s="164">
        <v>44704</v>
      </c>
      <c r="I519" s="164">
        <v>44704</v>
      </c>
      <c r="J519" s="129"/>
      <c r="K519" s="122">
        <v>76.2</v>
      </c>
      <c r="L519" s="122">
        <v>46.5</v>
      </c>
      <c r="M519" s="122"/>
      <c r="N519" s="122">
        <v>374.9</v>
      </c>
      <c r="O519" s="122">
        <v>4.92</v>
      </c>
      <c r="P519" s="122">
        <f>AJ519*1000*AN519/100</f>
        <v>745.3</v>
      </c>
      <c r="Q519" s="122">
        <f>N519*P519/1000</f>
        <v>279.41296999999997</v>
      </c>
      <c r="R519" s="122">
        <f>K519*P519/1000</f>
        <v>56.79186</v>
      </c>
      <c r="S519" s="122"/>
      <c r="T519" s="122"/>
      <c r="U519" s="122"/>
      <c r="V519" s="123"/>
      <c r="W519" s="122"/>
      <c r="X519" s="122"/>
      <c r="Y519" s="126"/>
      <c r="Z519" s="122"/>
      <c r="AA519" s="24"/>
      <c r="AB519" s="24"/>
      <c r="AC519" s="24"/>
      <c r="AD519" s="24"/>
      <c r="AG519" s="132">
        <v>2.61</v>
      </c>
      <c r="AH519" s="124">
        <f>AJ519*AG519</f>
        <v>67.076999999999998</v>
      </c>
      <c r="AI519" s="124"/>
      <c r="AJ519" s="124">
        <v>25.7</v>
      </c>
      <c r="AK519" s="1" t="s">
        <v>5</v>
      </c>
      <c r="AL519" s="122"/>
      <c r="AM519" s="122"/>
      <c r="AN519" s="122">
        <v>2.9</v>
      </c>
      <c r="AO519" s="122"/>
      <c r="AP519" s="122">
        <v>32.590000000000003</v>
      </c>
      <c r="AQ519" s="122">
        <v>79.69</v>
      </c>
      <c r="AR519" s="122">
        <v>7.53</v>
      </c>
    </row>
    <row r="520" spans="1:44" s="131" customFormat="1">
      <c r="A520" s="163">
        <v>519</v>
      </c>
      <c r="B520" s="162">
        <v>2022</v>
      </c>
      <c r="C520" s="119" t="s">
        <v>139</v>
      </c>
      <c r="D520" s="86" t="s">
        <v>108</v>
      </c>
      <c r="E520" s="85" t="s">
        <v>25</v>
      </c>
      <c r="F520" s="87" t="s">
        <v>35</v>
      </c>
      <c r="G520" s="93" t="s">
        <v>199</v>
      </c>
      <c r="H520" s="164">
        <v>44722</v>
      </c>
      <c r="I520" s="164">
        <v>44722</v>
      </c>
      <c r="J520" s="129">
        <v>2</v>
      </c>
      <c r="K520" s="122"/>
      <c r="L520" s="122"/>
      <c r="M520" s="122"/>
      <c r="N520" s="122"/>
      <c r="O520" s="122"/>
      <c r="P520" s="122"/>
      <c r="Q520" s="122"/>
      <c r="R520" s="122"/>
      <c r="S520" s="122"/>
      <c r="T520" s="122"/>
      <c r="U520" s="122"/>
      <c r="V520" s="123"/>
      <c r="W520" s="122"/>
      <c r="X520" s="122"/>
      <c r="Y520" s="126"/>
      <c r="Z520" s="122"/>
      <c r="AA520" s="24"/>
      <c r="AB520" s="24"/>
      <c r="AC520" s="24"/>
      <c r="AD520" s="24"/>
      <c r="AG520" s="132">
        <v>2.61</v>
      </c>
      <c r="AH520" s="124"/>
      <c r="AI520" s="124"/>
      <c r="AJ520" s="124"/>
      <c r="AK520" s="1"/>
      <c r="AL520" s="122"/>
      <c r="AM520" s="122"/>
      <c r="AN520" s="122"/>
      <c r="AO520" s="122"/>
      <c r="AP520" s="122"/>
      <c r="AQ520" s="122"/>
      <c r="AR520" s="122"/>
    </row>
    <row r="521" spans="1:44" s="131" customFormat="1">
      <c r="A521" s="163">
        <v>520</v>
      </c>
      <c r="B521" s="162">
        <v>2022</v>
      </c>
      <c r="C521" s="119" t="s">
        <v>139</v>
      </c>
      <c r="D521" s="86" t="s">
        <v>108</v>
      </c>
      <c r="E521" s="85" t="s">
        <v>17</v>
      </c>
      <c r="F521" s="87" t="s">
        <v>37</v>
      </c>
      <c r="G521" s="93" t="s">
        <v>48</v>
      </c>
      <c r="H521" s="164">
        <v>44739</v>
      </c>
      <c r="I521" s="164">
        <v>44739</v>
      </c>
      <c r="J521" s="129"/>
      <c r="K521" s="122">
        <v>60</v>
      </c>
      <c r="L521" s="122">
        <v>33.200000000000003</v>
      </c>
      <c r="M521" s="122"/>
      <c r="N521" s="122">
        <v>414.4</v>
      </c>
      <c r="O521" s="122">
        <v>6.9</v>
      </c>
      <c r="P521" s="122">
        <f>AJ521*1000*AN521/100</f>
        <v>1308.0000000000002</v>
      </c>
      <c r="Q521" s="122">
        <f>N521*P521/1000</f>
        <v>542.03520000000003</v>
      </c>
      <c r="R521" s="122">
        <f>K521*P521/1000</f>
        <v>78.480000000000018</v>
      </c>
      <c r="S521" s="122"/>
      <c r="T521" s="122"/>
      <c r="U521" s="122"/>
      <c r="V521" s="123"/>
      <c r="W521" s="122"/>
      <c r="X521" s="122"/>
      <c r="Y521" s="126"/>
      <c r="Z521" s="122"/>
      <c r="AA521" s="24"/>
      <c r="AB521" s="24"/>
      <c r="AC521" s="24"/>
      <c r="AD521" s="24"/>
      <c r="AG521" s="132">
        <v>2.61</v>
      </c>
      <c r="AH521" s="124">
        <f>AJ521*AG521</f>
        <v>85.347000000000008</v>
      </c>
      <c r="AI521" s="124"/>
      <c r="AJ521" s="124">
        <v>32.700000000000003</v>
      </c>
      <c r="AK521" s="1" t="s">
        <v>5</v>
      </c>
      <c r="AL521" s="122"/>
      <c r="AM521" s="122"/>
      <c r="AN521" s="122">
        <v>4</v>
      </c>
      <c r="AO521" s="122"/>
      <c r="AP521" s="122">
        <v>29.13</v>
      </c>
      <c r="AQ521" s="122">
        <v>60.88</v>
      </c>
      <c r="AR521" s="122">
        <v>7.85</v>
      </c>
    </row>
    <row r="522" spans="1:44" s="131" customFormat="1">
      <c r="A522" s="163">
        <v>521</v>
      </c>
      <c r="B522" s="162">
        <v>2022</v>
      </c>
      <c r="C522" s="119" t="s">
        <v>139</v>
      </c>
      <c r="D522" s="86" t="s">
        <v>108</v>
      </c>
      <c r="E522" s="85" t="s">
        <v>25</v>
      </c>
      <c r="F522" s="87" t="s">
        <v>35</v>
      </c>
      <c r="G522" s="1" t="s">
        <v>199</v>
      </c>
      <c r="H522" s="164">
        <v>44748</v>
      </c>
      <c r="I522" s="164">
        <v>44748</v>
      </c>
      <c r="J522" s="129">
        <v>3</v>
      </c>
      <c r="K522" s="122"/>
      <c r="L522" s="122"/>
      <c r="M522" s="122"/>
      <c r="N522" s="122"/>
      <c r="O522" s="122"/>
      <c r="P522" s="122"/>
      <c r="Q522" s="122"/>
      <c r="R522" s="122"/>
      <c r="S522" s="122"/>
      <c r="T522" s="122"/>
      <c r="U522" s="122"/>
      <c r="V522" s="123"/>
      <c r="W522" s="122"/>
      <c r="X522" s="122"/>
      <c r="Y522" s="126"/>
      <c r="Z522" s="122"/>
      <c r="AA522" s="24"/>
      <c r="AB522" s="24"/>
      <c r="AC522" s="24"/>
      <c r="AD522" s="24"/>
      <c r="AG522" s="132">
        <v>2.61</v>
      </c>
      <c r="AH522" s="124"/>
      <c r="AI522" s="124"/>
      <c r="AJ522" s="124"/>
      <c r="AK522" s="1"/>
      <c r="AL522" s="122"/>
      <c r="AM522" s="122"/>
      <c r="AN522" s="122"/>
      <c r="AO522" s="122"/>
      <c r="AP522" s="122"/>
      <c r="AQ522" s="122"/>
      <c r="AR522" s="122"/>
    </row>
    <row r="523" spans="1:44" s="131" customFormat="1">
      <c r="A523" s="163">
        <v>522</v>
      </c>
      <c r="B523" s="162">
        <v>2022</v>
      </c>
      <c r="C523" s="119" t="s">
        <v>139</v>
      </c>
      <c r="D523" s="86" t="s">
        <v>108</v>
      </c>
      <c r="E523" s="85" t="s">
        <v>17</v>
      </c>
      <c r="F523" s="87" t="s">
        <v>37</v>
      </c>
      <c r="G523" s="93" t="s">
        <v>48</v>
      </c>
      <c r="H523" s="164">
        <v>44762</v>
      </c>
      <c r="I523" s="164">
        <v>44762</v>
      </c>
      <c r="J523" s="129"/>
      <c r="K523" s="122">
        <v>69.900000000000006</v>
      </c>
      <c r="L523" s="122">
        <v>46.1</v>
      </c>
      <c r="M523" s="122"/>
      <c r="N523" s="122">
        <v>385.4</v>
      </c>
      <c r="O523" s="122">
        <v>5.51</v>
      </c>
      <c r="P523" s="122">
        <f>AJ523*1000*AN523/100</f>
        <v>617.4</v>
      </c>
      <c r="Q523" s="122">
        <f>N523*P523/1000</f>
        <v>237.94595999999996</v>
      </c>
      <c r="R523" s="122">
        <f>K523*P523/1000</f>
        <v>43.156260000000003</v>
      </c>
      <c r="S523" s="122"/>
      <c r="T523" s="122"/>
      <c r="U523" s="122"/>
      <c r="V523" s="123"/>
      <c r="W523" s="122"/>
      <c r="X523" s="122"/>
      <c r="Y523" s="126"/>
      <c r="Z523" s="122"/>
      <c r="AA523" s="24"/>
      <c r="AB523" s="24"/>
      <c r="AC523" s="24"/>
      <c r="AD523" s="24"/>
      <c r="AG523" s="132">
        <v>2.61</v>
      </c>
      <c r="AH523" s="124">
        <f>AJ523*AG523</f>
        <v>76.733999999999995</v>
      </c>
      <c r="AI523" s="124"/>
      <c r="AJ523" s="124">
        <v>29.4</v>
      </c>
      <c r="AK523" s="1" t="s">
        <v>5</v>
      </c>
      <c r="AL523" s="122"/>
      <c r="AM523" s="122"/>
      <c r="AN523" s="122">
        <v>2.1</v>
      </c>
      <c r="AO523" s="122"/>
      <c r="AP523" s="122">
        <v>34.520000000000003</v>
      </c>
      <c r="AQ523" s="122">
        <v>61.15</v>
      </c>
      <c r="AR523" s="122">
        <v>8.1999999999999993</v>
      </c>
    </row>
    <row r="524" spans="1:44" s="131" customFormat="1">
      <c r="A524" s="163">
        <v>523</v>
      </c>
      <c r="B524" s="162">
        <v>2022</v>
      </c>
      <c r="C524" s="119" t="s">
        <v>139</v>
      </c>
      <c r="D524" s="86" t="s">
        <v>108</v>
      </c>
      <c r="E524" s="85" t="s">
        <v>25</v>
      </c>
      <c r="F524" s="87" t="s">
        <v>35</v>
      </c>
      <c r="G524" s="1" t="s">
        <v>199</v>
      </c>
      <c r="H524" s="164">
        <v>44782</v>
      </c>
      <c r="I524" s="164">
        <v>44789</v>
      </c>
      <c r="J524" s="129">
        <v>4</v>
      </c>
      <c r="K524" s="122"/>
      <c r="L524" s="122"/>
      <c r="M524" s="122"/>
      <c r="N524" s="122"/>
      <c r="O524" s="122"/>
      <c r="P524" s="122"/>
      <c r="Q524" s="122"/>
      <c r="R524" s="122"/>
      <c r="S524" s="122"/>
      <c r="T524" s="122"/>
      <c r="U524" s="122"/>
      <c r="V524" s="123"/>
      <c r="W524" s="122"/>
      <c r="X524" s="122"/>
      <c r="Y524" s="126"/>
      <c r="Z524" s="122"/>
      <c r="AA524" s="24"/>
      <c r="AB524" s="24"/>
      <c r="AC524" s="24"/>
      <c r="AD524" s="24"/>
      <c r="AG524" s="132">
        <v>2.61</v>
      </c>
      <c r="AH524" s="124"/>
      <c r="AI524" s="124"/>
      <c r="AJ524" s="124"/>
      <c r="AK524" s="1"/>
      <c r="AL524" s="122"/>
      <c r="AM524" s="122"/>
      <c r="AN524" s="122"/>
      <c r="AO524" s="122"/>
      <c r="AP524" s="122"/>
      <c r="AQ524" s="122"/>
      <c r="AR524" s="122"/>
    </row>
    <row r="525" spans="1:44" s="131" customFormat="1">
      <c r="A525" s="163">
        <v>524</v>
      </c>
      <c r="B525" s="162">
        <v>2022</v>
      </c>
      <c r="C525" s="119" t="s">
        <v>139</v>
      </c>
      <c r="D525" s="86" t="s">
        <v>108</v>
      </c>
      <c r="E525" s="85" t="s">
        <v>17</v>
      </c>
      <c r="F525" s="87" t="s">
        <v>37</v>
      </c>
      <c r="G525" s="93" t="s">
        <v>48</v>
      </c>
      <c r="H525" s="164">
        <v>44798</v>
      </c>
      <c r="I525" s="164">
        <v>44799</v>
      </c>
      <c r="J525" s="129"/>
      <c r="K525" s="122">
        <v>72.2</v>
      </c>
      <c r="L525" s="122">
        <v>42.4</v>
      </c>
      <c r="M525" s="122"/>
      <c r="N525" s="122">
        <v>378.2</v>
      </c>
      <c r="O525" s="122">
        <v>5.24</v>
      </c>
      <c r="P525" s="122">
        <f>AJ525*1000*AN525/100</f>
        <v>774.76</v>
      </c>
      <c r="Q525" s="122">
        <f>N525*P525/1000</f>
        <v>293.01423199999994</v>
      </c>
      <c r="R525" s="122">
        <f>K525*P525/1000</f>
        <v>55.937671999999999</v>
      </c>
      <c r="S525" s="122"/>
      <c r="T525" s="122"/>
      <c r="U525" s="122"/>
      <c r="V525" s="123"/>
      <c r="W525" s="122"/>
      <c r="X525" s="122"/>
      <c r="Y525" s="126"/>
      <c r="Z525" s="122"/>
      <c r="AA525" s="24"/>
      <c r="AB525" s="24"/>
      <c r="AC525" s="24"/>
      <c r="AD525" s="24"/>
      <c r="AG525" s="132">
        <v>2.61</v>
      </c>
      <c r="AH525" s="124">
        <f>AJ525*AG525</f>
        <v>72.218699999999998</v>
      </c>
      <c r="AI525" s="124"/>
      <c r="AJ525" s="124">
        <v>27.67</v>
      </c>
      <c r="AK525" s="1" t="s">
        <v>5</v>
      </c>
      <c r="AL525" s="122"/>
      <c r="AM525" s="122"/>
      <c r="AN525" s="122">
        <v>2.8</v>
      </c>
      <c r="AO525" s="122"/>
      <c r="AP525" s="122">
        <v>31.1</v>
      </c>
      <c r="AQ525" s="122">
        <v>70.8</v>
      </c>
      <c r="AR525" s="122">
        <v>8.23</v>
      </c>
    </row>
    <row r="526" spans="1:44" s="131" customFormat="1">
      <c r="A526" s="163">
        <v>525</v>
      </c>
      <c r="B526" s="162">
        <v>2022</v>
      </c>
      <c r="C526" s="119" t="s">
        <v>139</v>
      </c>
      <c r="D526" s="86" t="s">
        <v>108</v>
      </c>
      <c r="E526" s="85" t="s">
        <v>25</v>
      </c>
      <c r="F526" s="87" t="s">
        <v>35</v>
      </c>
      <c r="G526" s="1" t="s">
        <v>199</v>
      </c>
      <c r="H526" s="164">
        <v>44825</v>
      </c>
      <c r="I526" s="164">
        <v>44825</v>
      </c>
      <c r="J526" s="129">
        <v>5</v>
      </c>
      <c r="K526" s="122"/>
      <c r="L526" s="122"/>
      <c r="M526" s="122"/>
      <c r="N526" s="122"/>
      <c r="O526" s="122"/>
      <c r="P526" s="122"/>
      <c r="Q526" s="122"/>
      <c r="R526" s="122"/>
      <c r="S526" s="122"/>
      <c r="T526" s="122"/>
      <c r="U526" s="122"/>
      <c r="V526" s="123"/>
      <c r="W526" s="122"/>
      <c r="X526" s="122"/>
      <c r="Y526" s="126"/>
      <c r="Z526" s="122"/>
      <c r="AA526" s="24"/>
      <c r="AB526" s="24"/>
      <c r="AC526" s="24"/>
      <c r="AD526" s="24"/>
      <c r="AG526" s="132">
        <v>2.61</v>
      </c>
      <c r="AH526" s="124"/>
      <c r="AI526" s="124"/>
      <c r="AJ526" s="124"/>
      <c r="AK526" s="1"/>
      <c r="AL526" s="122"/>
      <c r="AM526" s="122"/>
      <c r="AN526" s="122"/>
      <c r="AO526" s="122"/>
      <c r="AP526" s="122"/>
      <c r="AQ526" s="122"/>
      <c r="AR526" s="122"/>
    </row>
    <row r="527" spans="1:44" s="131" customFormat="1">
      <c r="A527" s="163">
        <v>526</v>
      </c>
      <c r="B527" s="162">
        <v>2022</v>
      </c>
      <c r="C527" s="119" t="s">
        <v>139</v>
      </c>
      <c r="D527" s="86" t="s">
        <v>108</v>
      </c>
      <c r="E527" s="85" t="s">
        <v>17</v>
      </c>
      <c r="F527" s="87" t="s">
        <v>37</v>
      </c>
      <c r="G527" s="93" t="s">
        <v>48</v>
      </c>
      <c r="H527" s="164">
        <v>44839</v>
      </c>
      <c r="I527" s="164">
        <v>44841</v>
      </c>
      <c r="J527" s="129"/>
      <c r="K527" s="122">
        <v>61.3</v>
      </c>
      <c r="L527" s="122">
        <v>32.9</v>
      </c>
      <c r="M527" s="122"/>
      <c r="N527" s="122">
        <v>399.7</v>
      </c>
      <c r="O527" s="122">
        <v>6.52</v>
      </c>
      <c r="P527" s="122">
        <f>AJ527*1000*AN527/100</f>
        <v>1289.0999999999999</v>
      </c>
      <c r="Q527" s="122">
        <f>N527*P527/1000</f>
        <v>515.25326999999993</v>
      </c>
      <c r="R527" s="122">
        <f>K527*P527/1000</f>
        <v>79.021829999999994</v>
      </c>
      <c r="S527" s="122"/>
      <c r="T527" s="122"/>
      <c r="U527" s="122"/>
      <c r="V527" s="123"/>
      <c r="W527" s="122"/>
      <c r="X527" s="122"/>
      <c r="Y527" s="126"/>
      <c r="Z527" s="122"/>
      <c r="AA527" s="24"/>
      <c r="AB527" s="24"/>
      <c r="AC527" s="24"/>
      <c r="AD527" s="24"/>
      <c r="AG527" s="132">
        <v>2.61</v>
      </c>
      <c r="AH527" s="124">
        <f>AJ527*AG527</f>
        <v>112.15169999999999</v>
      </c>
      <c r="AI527" s="124"/>
      <c r="AJ527" s="124">
        <v>42.97</v>
      </c>
      <c r="AK527" s="1" t="s">
        <v>5</v>
      </c>
      <c r="AL527" s="122"/>
      <c r="AM527" s="122"/>
      <c r="AN527" s="122">
        <v>3</v>
      </c>
      <c r="AO527" s="122"/>
      <c r="AP527" s="122">
        <v>33.96</v>
      </c>
      <c r="AQ527" s="122">
        <v>72.209999999999994</v>
      </c>
      <c r="AR527" s="122">
        <v>8.81</v>
      </c>
    </row>
    <row r="528" spans="1:44" s="131" customFormat="1">
      <c r="A528" s="163">
        <v>527</v>
      </c>
      <c r="B528" s="162">
        <v>2022</v>
      </c>
      <c r="C528" s="120" t="s">
        <v>138</v>
      </c>
      <c r="D528" s="86" t="s">
        <v>108</v>
      </c>
      <c r="E528" s="85" t="s">
        <v>25</v>
      </c>
      <c r="F528" s="87" t="s">
        <v>29</v>
      </c>
      <c r="G528" s="93" t="s">
        <v>47</v>
      </c>
      <c r="H528" s="164">
        <v>44906</v>
      </c>
      <c r="I528" s="164">
        <v>44910</v>
      </c>
      <c r="J528" s="88"/>
      <c r="K528" s="3"/>
      <c r="L528" s="3"/>
      <c r="M528" s="3"/>
      <c r="N528" s="3"/>
      <c r="O528" s="3"/>
      <c r="P528" s="3"/>
      <c r="Q528" s="3"/>
      <c r="R528" s="3"/>
      <c r="S528" s="3"/>
      <c r="T528" s="3"/>
      <c r="U528" s="3"/>
      <c r="V528" s="14"/>
      <c r="W528" s="32"/>
      <c r="X528" s="32"/>
      <c r="Y528" s="3"/>
      <c r="Z528" s="3"/>
      <c r="AA528" s="24"/>
      <c r="AB528" s="24"/>
      <c r="AC528" s="24"/>
      <c r="AD528" s="24"/>
      <c r="AG528" s="2">
        <v>1.32</v>
      </c>
      <c r="AH528" s="165"/>
      <c r="AI528" s="165"/>
      <c r="AJ528" s="166"/>
      <c r="AK528" s="1"/>
      <c r="AL528" s="5"/>
      <c r="AM528" s="3"/>
      <c r="AN528" s="3"/>
      <c r="AO528" s="5"/>
      <c r="AP528" s="5"/>
      <c r="AQ528" s="5"/>
      <c r="AR528" s="5"/>
    </row>
    <row r="529" spans="1:44" s="131" customFormat="1">
      <c r="A529" s="163">
        <v>528</v>
      </c>
      <c r="B529" s="162">
        <v>2022</v>
      </c>
      <c r="C529" s="119" t="s">
        <v>139</v>
      </c>
      <c r="D529" s="86" t="s">
        <v>108</v>
      </c>
      <c r="E529" s="85" t="s">
        <v>25</v>
      </c>
      <c r="F529" s="87" t="s">
        <v>29</v>
      </c>
      <c r="G529" s="93" t="s">
        <v>47</v>
      </c>
      <c r="H529" s="164">
        <v>44906</v>
      </c>
      <c r="I529" s="164">
        <v>44910</v>
      </c>
      <c r="J529" s="88"/>
      <c r="K529" s="3"/>
      <c r="L529" s="3"/>
      <c r="M529" s="3"/>
      <c r="N529" s="3"/>
      <c r="O529" s="3"/>
      <c r="P529" s="3"/>
      <c r="Q529" s="3"/>
      <c r="R529" s="3"/>
      <c r="S529" s="3"/>
      <c r="T529" s="3"/>
      <c r="U529" s="3"/>
      <c r="V529" s="14"/>
      <c r="W529" s="32"/>
      <c r="X529" s="32"/>
      <c r="Y529" s="3"/>
      <c r="Z529" s="3"/>
      <c r="AA529" s="24"/>
      <c r="AB529" s="24"/>
      <c r="AC529" s="24"/>
      <c r="AD529" s="24"/>
      <c r="AG529" s="2">
        <v>2.61</v>
      </c>
      <c r="AH529" s="165"/>
      <c r="AI529" s="165"/>
      <c r="AJ529" s="166"/>
      <c r="AK529" s="1"/>
      <c r="AL529" s="5"/>
      <c r="AM529" s="3"/>
      <c r="AN529" s="3"/>
      <c r="AO529" s="5"/>
      <c r="AP529" s="5"/>
      <c r="AQ529" s="5"/>
      <c r="AR529" s="5"/>
    </row>
    <row r="530" spans="1:44" s="131" customFormat="1">
      <c r="A530" s="163">
        <v>529</v>
      </c>
      <c r="B530" s="167">
        <v>2023</v>
      </c>
      <c r="C530" s="120" t="s">
        <v>138</v>
      </c>
      <c r="D530" s="86" t="s">
        <v>108</v>
      </c>
      <c r="E530" s="86" t="s">
        <v>17</v>
      </c>
      <c r="F530" s="86" t="s">
        <v>37</v>
      </c>
      <c r="G530" s="86" t="s">
        <v>48</v>
      </c>
      <c r="H530" s="164">
        <v>45006</v>
      </c>
      <c r="I530" s="164"/>
      <c r="J530" s="88"/>
      <c r="K530" s="3"/>
      <c r="L530" s="3"/>
      <c r="M530" s="3"/>
      <c r="N530" s="3"/>
      <c r="O530" s="3"/>
      <c r="P530" s="3"/>
      <c r="Q530" s="3"/>
      <c r="R530" s="3"/>
      <c r="S530" s="3"/>
      <c r="T530" s="3"/>
      <c r="U530" s="3"/>
      <c r="V530" s="14"/>
      <c r="W530" s="32"/>
      <c r="X530" s="32"/>
      <c r="Y530" s="3"/>
      <c r="Z530" s="3"/>
      <c r="AA530" s="24"/>
      <c r="AB530" s="24"/>
      <c r="AC530" s="24"/>
      <c r="AD530" s="24"/>
      <c r="AG530" s="2"/>
      <c r="AH530" s="165"/>
      <c r="AI530" s="165"/>
      <c r="AJ530" s="166"/>
      <c r="AK530" s="1"/>
      <c r="AL530" s="5"/>
      <c r="AM530" s="3"/>
      <c r="AN530" s="3"/>
      <c r="AO530" s="5"/>
      <c r="AP530" s="5"/>
      <c r="AQ530" s="5"/>
      <c r="AR530" s="5"/>
    </row>
    <row r="531" spans="1:44" s="131" customFormat="1">
      <c r="A531" s="163">
        <v>530</v>
      </c>
      <c r="B531" s="167">
        <v>2023</v>
      </c>
      <c r="C531" s="120" t="s">
        <v>138</v>
      </c>
      <c r="D531" s="86" t="s">
        <v>108</v>
      </c>
      <c r="E531" s="86" t="s">
        <v>26</v>
      </c>
      <c r="F531" s="86" t="s">
        <v>33</v>
      </c>
      <c r="G531" s="86"/>
      <c r="H531" s="164">
        <v>45015</v>
      </c>
      <c r="I531" s="164"/>
      <c r="J531" s="88"/>
      <c r="K531" s="3"/>
      <c r="L531" s="3"/>
      <c r="M531" s="3"/>
      <c r="N531" s="3"/>
      <c r="O531" s="3"/>
      <c r="P531" s="3"/>
      <c r="Q531" s="3"/>
      <c r="R531" s="3"/>
      <c r="S531" s="3"/>
      <c r="T531" s="3"/>
      <c r="U531" s="3"/>
      <c r="V531" s="14"/>
      <c r="W531" s="32"/>
      <c r="X531" s="32"/>
      <c r="Y531" s="3"/>
      <c r="Z531" s="3"/>
      <c r="AA531" s="24"/>
      <c r="AB531" s="24"/>
      <c r="AC531" s="24"/>
      <c r="AD531" s="24"/>
      <c r="AG531" s="2"/>
      <c r="AH531" s="165"/>
      <c r="AI531" s="165"/>
      <c r="AJ531" s="166"/>
      <c r="AK531" s="1"/>
      <c r="AL531" s="5"/>
      <c r="AM531" s="3"/>
      <c r="AN531" s="3"/>
      <c r="AO531" s="5"/>
      <c r="AP531" s="5"/>
      <c r="AQ531" s="5"/>
      <c r="AR531" s="5"/>
    </row>
    <row r="532" spans="1:44" s="131" customFormat="1">
      <c r="A532" s="163">
        <v>531</v>
      </c>
      <c r="B532" s="167">
        <v>2023</v>
      </c>
      <c r="C532" s="120" t="s">
        <v>138</v>
      </c>
      <c r="D532" s="86" t="s">
        <v>108</v>
      </c>
      <c r="E532" s="86" t="s">
        <v>25</v>
      </c>
      <c r="F532" s="86" t="s">
        <v>35</v>
      </c>
      <c r="G532" s="86"/>
      <c r="H532" s="164">
        <v>45050</v>
      </c>
      <c r="I532" s="164"/>
      <c r="J532" s="88"/>
      <c r="K532" s="3"/>
      <c r="L532" s="3"/>
      <c r="M532" s="3"/>
      <c r="N532" s="3"/>
      <c r="O532" s="3"/>
      <c r="P532" s="3"/>
      <c r="Q532" s="3"/>
      <c r="R532" s="3"/>
      <c r="S532" s="3"/>
      <c r="T532" s="3"/>
      <c r="U532" s="3"/>
      <c r="V532" s="14"/>
      <c r="W532" s="32"/>
      <c r="X532" s="32"/>
      <c r="Y532" s="3"/>
      <c r="Z532" s="3"/>
      <c r="AA532" s="24"/>
      <c r="AB532" s="24"/>
      <c r="AC532" s="24"/>
      <c r="AD532" s="24"/>
      <c r="AG532" s="2"/>
      <c r="AH532" s="165"/>
      <c r="AI532" s="165"/>
      <c r="AJ532" s="166"/>
      <c r="AK532" s="1"/>
      <c r="AL532" s="5"/>
      <c r="AM532" s="3"/>
      <c r="AN532" s="3"/>
      <c r="AO532" s="5"/>
      <c r="AP532" s="5"/>
      <c r="AQ532" s="5"/>
      <c r="AR532" s="5"/>
    </row>
    <row r="533" spans="1:44" s="131" customFormat="1">
      <c r="A533" s="163">
        <v>532</v>
      </c>
      <c r="B533" s="167">
        <v>2023</v>
      </c>
      <c r="C533" s="120" t="s">
        <v>138</v>
      </c>
      <c r="D533" s="86" t="s">
        <v>108</v>
      </c>
      <c r="E533" s="86" t="s">
        <v>17</v>
      </c>
      <c r="F533" s="86" t="s">
        <v>37</v>
      </c>
      <c r="G533" s="86" t="s">
        <v>48</v>
      </c>
      <c r="H533" s="164">
        <v>45071</v>
      </c>
      <c r="I533" s="164"/>
      <c r="J533" s="88"/>
      <c r="K533" s="3"/>
      <c r="L533" s="3"/>
      <c r="M533" s="3"/>
      <c r="N533" s="3"/>
      <c r="O533" s="3"/>
      <c r="P533" s="3"/>
      <c r="Q533" s="3"/>
      <c r="R533" s="3"/>
      <c r="S533" s="3"/>
      <c r="T533" s="3"/>
      <c r="U533" s="3"/>
      <c r="V533" s="14"/>
      <c r="W533" s="32"/>
      <c r="X533" s="32"/>
      <c r="Y533" s="3"/>
      <c r="Z533" s="3"/>
      <c r="AA533" s="24"/>
      <c r="AB533" s="24"/>
      <c r="AC533" s="24"/>
      <c r="AD533" s="24"/>
      <c r="AG533" s="2"/>
      <c r="AH533" s="165"/>
      <c r="AI533" s="165"/>
      <c r="AJ533" s="166"/>
      <c r="AK533" s="1"/>
      <c r="AL533" s="5"/>
      <c r="AM533" s="3"/>
      <c r="AN533" s="3"/>
      <c r="AO533" s="5"/>
      <c r="AP533" s="5"/>
      <c r="AQ533" s="5"/>
      <c r="AR533" s="5"/>
    </row>
    <row r="534" spans="1:44" s="131" customFormat="1">
      <c r="A534" s="163">
        <v>533</v>
      </c>
      <c r="B534" s="167">
        <v>2023</v>
      </c>
      <c r="C534" s="120" t="s">
        <v>138</v>
      </c>
      <c r="D534" s="86" t="s">
        <v>108</v>
      </c>
      <c r="E534" s="86" t="s">
        <v>25</v>
      </c>
      <c r="F534" s="86" t="s">
        <v>35</v>
      </c>
      <c r="G534" s="86"/>
      <c r="H534" s="164">
        <v>45088</v>
      </c>
      <c r="I534" s="164"/>
      <c r="J534" s="88"/>
      <c r="K534" s="3"/>
      <c r="L534" s="3"/>
      <c r="M534" s="3"/>
      <c r="N534" s="3"/>
      <c r="O534" s="3"/>
      <c r="P534" s="3"/>
      <c r="Q534" s="3"/>
      <c r="R534" s="3"/>
      <c r="S534" s="3"/>
      <c r="T534" s="3"/>
      <c r="U534" s="3"/>
      <c r="V534" s="14"/>
      <c r="W534" s="32"/>
      <c r="X534" s="32"/>
      <c r="Y534" s="3"/>
      <c r="Z534" s="3"/>
      <c r="AA534" s="24"/>
      <c r="AB534" s="24"/>
      <c r="AC534" s="24"/>
      <c r="AD534" s="24"/>
      <c r="AG534" s="2"/>
      <c r="AH534" s="165"/>
      <c r="AI534" s="165"/>
      <c r="AJ534" s="166"/>
      <c r="AK534" s="1"/>
      <c r="AL534" s="5"/>
      <c r="AM534" s="3"/>
      <c r="AN534" s="3"/>
      <c r="AO534" s="5"/>
      <c r="AP534" s="5"/>
      <c r="AQ534" s="5"/>
      <c r="AR534" s="5"/>
    </row>
    <row r="535" spans="1:44" s="131" customFormat="1">
      <c r="A535" s="163">
        <v>534</v>
      </c>
      <c r="B535" s="167">
        <v>2023</v>
      </c>
      <c r="C535" s="120" t="s">
        <v>138</v>
      </c>
      <c r="D535" s="86" t="s">
        <v>108</v>
      </c>
      <c r="E535" s="86" t="s">
        <v>17</v>
      </c>
      <c r="F535" s="86" t="s">
        <v>37</v>
      </c>
      <c r="G535" s="86" t="s">
        <v>48</v>
      </c>
      <c r="H535" s="164">
        <v>45096</v>
      </c>
      <c r="I535" s="164"/>
      <c r="J535" s="88"/>
      <c r="K535" s="3"/>
      <c r="L535" s="3"/>
      <c r="M535" s="3"/>
      <c r="N535" s="3"/>
      <c r="O535" s="3"/>
      <c r="P535" s="3"/>
      <c r="Q535" s="3"/>
      <c r="R535" s="3"/>
      <c r="S535" s="3"/>
      <c r="T535" s="3"/>
      <c r="U535" s="3"/>
      <c r="V535" s="14"/>
      <c r="W535" s="32"/>
      <c r="X535" s="32"/>
      <c r="Y535" s="3"/>
      <c r="Z535" s="3"/>
      <c r="AA535" s="24"/>
      <c r="AB535" s="24"/>
      <c r="AC535" s="24"/>
      <c r="AD535" s="24"/>
      <c r="AG535" s="2"/>
      <c r="AH535" s="165"/>
      <c r="AI535" s="165"/>
      <c r="AJ535" s="166"/>
      <c r="AK535" s="1"/>
      <c r="AL535" s="5"/>
      <c r="AM535" s="3"/>
      <c r="AN535" s="3"/>
      <c r="AO535" s="5"/>
      <c r="AP535" s="5"/>
      <c r="AQ535" s="5"/>
      <c r="AR535" s="5"/>
    </row>
    <row r="536" spans="1:44" s="131" customFormat="1">
      <c r="A536" s="163">
        <v>535</v>
      </c>
      <c r="B536" s="167">
        <v>2023</v>
      </c>
      <c r="C536" s="120" t="s">
        <v>138</v>
      </c>
      <c r="D536" s="86" t="s">
        <v>108</v>
      </c>
      <c r="E536" s="86" t="s">
        <v>25</v>
      </c>
      <c r="F536" s="86" t="s">
        <v>35</v>
      </c>
      <c r="G536" s="86"/>
      <c r="H536" s="164">
        <v>45120</v>
      </c>
      <c r="I536" s="164"/>
      <c r="J536" s="88"/>
      <c r="K536" s="3"/>
      <c r="L536" s="3"/>
      <c r="M536" s="3"/>
      <c r="N536" s="3"/>
      <c r="O536" s="3"/>
      <c r="P536" s="3"/>
      <c r="Q536" s="3"/>
      <c r="R536" s="3"/>
      <c r="S536" s="3"/>
      <c r="T536" s="3"/>
      <c r="U536" s="3"/>
      <c r="V536" s="14"/>
      <c r="W536" s="32"/>
      <c r="X536" s="32"/>
      <c r="Y536" s="3"/>
      <c r="Z536" s="3"/>
      <c r="AA536" s="24"/>
      <c r="AB536" s="24"/>
      <c r="AC536" s="24"/>
      <c r="AD536" s="24"/>
      <c r="AG536" s="2"/>
      <c r="AH536" s="165"/>
      <c r="AI536" s="165"/>
      <c r="AJ536" s="166"/>
      <c r="AK536" s="1"/>
      <c r="AL536" s="5"/>
      <c r="AM536" s="3"/>
      <c r="AN536" s="3"/>
      <c r="AO536" s="5"/>
      <c r="AP536" s="5"/>
      <c r="AQ536" s="5"/>
      <c r="AR536" s="5"/>
    </row>
    <row r="537" spans="1:44" s="131" customFormat="1">
      <c r="A537" s="163">
        <v>536</v>
      </c>
      <c r="B537" s="167">
        <v>2023</v>
      </c>
      <c r="C537" s="120" t="s">
        <v>138</v>
      </c>
      <c r="D537" s="86" t="s">
        <v>108</v>
      </c>
      <c r="E537" s="86" t="s">
        <v>25</v>
      </c>
      <c r="F537" s="86" t="s">
        <v>35</v>
      </c>
      <c r="G537" s="86"/>
      <c r="H537" s="164">
        <v>45147</v>
      </c>
      <c r="I537" s="164"/>
      <c r="J537" s="88"/>
      <c r="K537" s="3"/>
      <c r="L537" s="3"/>
      <c r="M537" s="3"/>
      <c r="N537" s="3"/>
      <c r="O537" s="3"/>
      <c r="P537" s="3"/>
      <c r="Q537" s="3"/>
      <c r="R537" s="3"/>
      <c r="S537" s="3"/>
      <c r="T537" s="3"/>
      <c r="U537" s="3"/>
      <c r="V537" s="14"/>
      <c r="W537" s="32"/>
      <c r="X537" s="32"/>
      <c r="Y537" s="3"/>
      <c r="Z537" s="3"/>
      <c r="AA537" s="24"/>
      <c r="AB537" s="24"/>
      <c r="AC537" s="24"/>
      <c r="AD537" s="24"/>
      <c r="AG537" s="2"/>
      <c r="AH537" s="165"/>
      <c r="AI537" s="165"/>
      <c r="AJ537" s="166"/>
      <c r="AK537" s="1"/>
      <c r="AL537" s="5"/>
      <c r="AM537" s="3"/>
      <c r="AN537" s="3"/>
      <c r="AO537" s="5"/>
      <c r="AP537" s="5"/>
      <c r="AQ537" s="5"/>
      <c r="AR537" s="5"/>
    </row>
    <row r="538" spans="1:44" s="131" customFormat="1">
      <c r="A538" s="163">
        <v>537</v>
      </c>
      <c r="B538" s="167">
        <v>2023</v>
      </c>
      <c r="C538" s="120" t="s">
        <v>138</v>
      </c>
      <c r="D538" s="86" t="s">
        <v>108</v>
      </c>
      <c r="E538" s="86" t="s">
        <v>17</v>
      </c>
      <c r="F538" s="86" t="s">
        <v>37</v>
      </c>
      <c r="G538" s="86" t="s">
        <v>48</v>
      </c>
      <c r="H538" s="164">
        <v>45528</v>
      </c>
      <c r="I538" s="164"/>
      <c r="J538" s="88"/>
      <c r="K538" s="3"/>
      <c r="L538" s="3"/>
      <c r="M538" s="3"/>
      <c r="N538" s="3"/>
      <c r="O538" s="3"/>
      <c r="P538" s="3"/>
      <c r="Q538" s="3"/>
      <c r="R538" s="3"/>
      <c r="S538" s="3"/>
      <c r="T538" s="3"/>
      <c r="U538" s="3"/>
      <c r="V538" s="14"/>
      <c r="W538" s="32"/>
      <c r="X538" s="32"/>
      <c r="Y538" s="3"/>
      <c r="Z538" s="3"/>
      <c r="AA538" s="24"/>
      <c r="AB538" s="24"/>
      <c r="AC538" s="24"/>
      <c r="AD538" s="24"/>
      <c r="AG538" s="2"/>
      <c r="AH538" s="165"/>
      <c r="AI538" s="165"/>
      <c r="AJ538" s="166"/>
      <c r="AK538" s="1"/>
      <c r="AL538" s="5"/>
      <c r="AM538" s="3"/>
      <c r="AN538" s="3"/>
      <c r="AO538" s="5"/>
      <c r="AP538" s="5"/>
      <c r="AQ538" s="5"/>
      <c r="AR538" s="5"/>
    </row>
    <row r="539" spans="1:44" s="131" customFormat="1">
      <c r="A539" s="163">
        <v>538</v>
      </c>
      <c r="B539" s="167">
        <v>2023</v>
      </c>
      <c r="C539" s="120" t="s">
        <v>138</v>
      </c>
      <c r="D539" s="86" t="s">
        <v>108</v>
      </c>
      <c r="E539" s="86" t="s">
        <v>25</v>
      </c>
      <c r="F539" s="86" t="s">
        <v>35</v>
      </c>
      <c r="G539" s="86"/>
      <c r="H539" s="164">
        <v>45194</v>
      </c>
      <c r="I539" s="164"/>
      <c r="J539" s="88"/>
      <c r="K539" s="3"/>
      <c r="L539" s="3"/>
      <c r="M539" s="3"/>
      <c r="N539" s="3"/>
      <c r="O539" s="3"/>
      <c r="P539" s="3"/>
      <c r="Q539" s="3"/>
      <c r="R539" s="3"/>
      <c r="S539" s="3"/>
      <c r="T539" s="3"/>
      <c r="U539" s="3"/>
      <c r="V539" s="14"/>
      <c r="W539" s="32"/>
      <c r="X539" s="32"/>
      <c r="Y539" s="3"/>
      <c r="Z539" s="3"/>
      <c r="AA539" s="24"/>
      <c r="AB539" s="24"/>
      <c r="AC539" s="24"/>
      <c r="AD539" s="24"/>
      <c r="AG539" s="2"/>
      <c r="AH539" s="165"/>
      <c r="AI539" s="165"/>
      <c r="AJ539" s="166"/>
      <c r="AK539" s="1"/>
      <c r="AL539" s="5"/>
      <c r="AM539" s="3"/>
      <c r="AN539" s="3"/>
      <c r="AO539" s="5"/>
      <c r="AP539" s="5"/>
      <c r="AQ539" s="5"/>
      <c r="AR539" s="5"/>
    </row>
    <row r="540" spans="1:44" s="131" customFormat="1">
      <c r="A540" s="163">
        <v>539</v>
      </c>
      <c r="B540" s="167">
        <v>2023</v>
      </c>
      <c r="C540" s="120" t="s">
        <v>138</v>
      </c>
      <c r="D540" s="86" t="s">
        <v>108</v>
      </c>
      <c r="E540" s="86" t="s">
        <v>17</v>
      </c>
      <c r="F540" s="86" t="s">
        <v>37</v>
      </c>
      <c r="G540" s="86" t="s">
        <v>48</v>
      </c>
      <c r="H540" s="164">
        <v>45198</v>
      </c>
      <c r="I540" s="164"/>
      <c r="J540" s="88"/>
      <c r="K540" s="3"/>
      <c r="L540" s="3"/>
      <c r="M540" s="3"/>
      <c r="N540" s="3"/>
      <c r="O540" s="3"/>
      <c r="P540" s="3"/>
      <c r="Q540" s="3"/>
      <c r="R540" s="3"/>
      <c r="S540" s="3"/>
      <c r="T540" s="3"/>
      <c r="U540" s="3"/>
      <c r="V540" s="14"/>
      <c r="W540" s="32"/>
      <c r="X540" s="32"/>
      <c r="Y540" s="3"/>
      <c r="Z540" s="3"/>
      <c r="AA540" s="24"/>
      <c r="AB540" s="24"/>
      <c r="AC540" s="24"/>
      <c r="AD540" s="24"/>
      <c r="AG540" s="2"/>
      <c r="AH540" s="165"/>
      <c r="AI540" s="165"/>
      <c r="AJ540" s="166"/>
      <c r="AK540" s="1"/>
      <c r="AL540" s="5"/>
      <c r="AM540" s="3"/>
      <c r="AN540" s="3"/>
      <c r="AO540" s="5"/>
      <c r="AP540" s="5"/>
      <c r="AQ540" s="5"/>
      <c r="AR540" s="5"/>
    </row>
    <row r="541" spans="1:44" s="131" customFormat="1">
      <c r="A541" s="163">
        <v>540</v>
      </c>
      <c r="B541" s="167">
        <v>2023</v>
      </c>
      <c r="C541" s="120" t="s">
        <v>138</v>
      </c>
      <c r="D541" s="86" t="s">
        <v>108</v>
      </c>
      <c r="E541" s="86" t="s">
        <v>25</v>
      </c>
      <c r="F541" s="86" t="s">
        <v>35</v>
      </c>
      <c r="G541" s="86"/>
      <c r="H541" s="164">
        <v>45227</v>
      </c>
      <c r="I541" s="164">
        <v>45229</v>
      </c>
      <c r="J541" s="88"/>
      <c r="K541" s="3"/>
      <c r="L541" s="3"/>
      <c r="M541" s="3"/>
      <c r="N541" s="3"/>
      <c r="O541" s="3"/>
      <c r="P541" s="3"/>
      <c r="Q541" s="3"/>
      <c r="R541" s="3"/>
      <c r="S541" s="3"/>
      <c r="T541" s="3"/>
      <c r="U541" s="3"/>
      <c r="V541" s="14"/>
      <c r="W541" s="32"/>
      <c r="X541" s="32"/>
      <c r="Y541" s="3"/>
      <c r="Z541" s="3"/>
      <c r="AA541" s="24"/>
      <c r="AB541" s="24"/>
      <c r="AC541" s="24"/>
      <c r="AD541" s="24"/>
      <c r="AG541" s="2"/>
      <c r="AH541" s="165"/>
      <c r="AI541" s="165"/>
      <c r="AJ541" s="166"/>
      <c r="AK541" s="1"/>
      <c r="AL541" s="5"/>
      <c r="AM541" s="3"/>
      <c r="AN541" s="3"/>
      <c r="AO541" s="5"/>
      <c r="AP541" s="5"/>
      <c r="AQ541" s="5"/>
      <c r="AR541" s="5"/>
    </row>
    <row r="542" spans="1:44" s="131" customFormat="1">
      <c r="A542" s="163">
        <v>541</v>
      </c>
      <c r="B542" s="167">
        <v>2023</v>
      </c>
      <c r="C542" s="119" t="s">
        <v>139</v>
      </c>
      <c r="D542" s="86" t="s">
        <v>108</v>
      </c>
      <c r="E542" s="86" t="s">
        <v>17</v>
      </c>
      <c r="F542" s="86" t="s">
        <v>37</v>
      </c>
      <c r="G542" s="86" t="s">
        <v>48</v>
      </c>
      <c r="H542" s="164">
        <v>45006</v>
      </c>
      <c r="I542" s="164"/>
      <c r="J542" s="88"/>
      <c r="K542" s="3"/>
      <c r="L542" s="3"/>
      <c r="M542" s="3"/>
      <c r="N542" s="3"/>
      <c r="O542" s="3"/>
      <c r="P542" s="3"/>
      <c r="Q542" s="3"/>
      <c r="R542" s="3"/>
      <c r="S542" s="3"/>
      <c r="T542" s="3"/>
      <c r="U542" s="3"/>
      <c r="V542" s="14"/>
      <c r="W542" s="32"/>
      <c r="X542" s="32"/>
      <c r="Y542" s="3"/>
      <c r="Z542" s="3"/>
      <c r="AA542" s="24"/>
      <c r="AB542" s="24"/>
      <c r="AC542" s="24"/>
      <c r="AD542" s="24"/>
      <c r="AG542" s="2"/>
      <c r="AH542" s="165"/>
      <c r="AI542" s="165"/>
      <c r="AJ542" s="166"/>
      <c r="AK542" s="1"/>
      <c r="AL542" s="5"/>
      <c r="AM542" s="3"/>
      <c r="AN542" s="3"/>
      <c r="AO542" s="5"/>
      <c r="AP542" s="5"/>
      <c r="AQ542" s="5"/>
      <c r="AR542" s="5"/>
    </row>
    <row r="543" spans="1:44" s="131" customFormat="1">
      <c r="A543" s="163">
        <v>542</v>
      </c>
      <c r="B543" s="167">
        <v>2023</v>
      </c>
      <c r="C543" s="119" t="s">
        <v>139</v>
      </c>
      <c r="D543" s="86" t="s">
        <v>108</v>
      </c>
      <c r="E543" s="86" t="s">
        <v>26</v>
      </c>
      <c r="F543" s="86" t="s">
        <v>33</v>
      </c>
      <c r="G543" s="86"/>
      <c r="H543" s="164">
        <v>45015</v>
      </c>
      <c r="I543" s="164"/>
      <c r="J543" s="88"/>
      <c r="K543" s="3"/>
      <c r="L543" s="3"/>
      <c r="M543" s="3"/>
      <c r="N543" s="3"/>
      <c r="O543" s="3"/>
      <c r="P543" s="3"/>
      <c r="Q543" s="3"/>
      <c r="R543" s="3"/>
      <c r="S543" s="3"/>
      <c r="T543" s="3"/>
      <c r="U543" s="3"/>
      <c r="V543" s="14"/>
      <c r="W543" s="32"/>
      <c r="X543" s="32"/>
      <c r="Y543" s="3"/>
      <c r="Z543" s="3"/>
      <c r="AA543" s="24"/>
      <c r="AB543" s="24"/>
      <c r="AC543" s="24"/>
      <c r="AD543" s="24"/>
      <c r="AG543" s="2"/>
      <c r="AH543" s="165"/>
      <c r="AI543" s="165"/>
      <c r="AJ543" s="166"/>
      <c r="AK543" s="1"/>
      <c r="AL543" s="5"/>
      <c r="AM543" s="3"/>
      <c r="AN543" s="3"/>
      <c r="AO543" s="5"/>
      <c r="AP543" s="5"/>
      <c r="AQ543" s="5"/>
      <c r="AR543" s="5"/>
    </row>
    <row r="544" spans="1:44" s="131" customFormat="1">
      <c r="A544" s="163">
        <v>543</v>
      </c>
      <c r="B544" s="167">
        <v>2023</v>
      </c>
      <c r="C544" s="119" t="s">
        <v>139</v>
      </c>
      <c r="D544" s="86" t="s">
        <v>108</v>
      </c>
      <c r="E544" s="86" t="s">
        <v>25</v>
      </c>
      <c r="F544" s="86" t="s">
        <v>35</v>
      </c>
      <c r="G544" s="86"/>
      <c r="H544" s="164">
        <v>45050</v>
      </c>
      <c r="I544" s="164"/>
      <c r="J544" s="88"/>
      <c r="K544" s="3"/>
      <c r="L544" s="3"/>
      <c r="M544" s="3"/>
      <c r="N544" s="3"/>
      <c r="O544" s="3"/>
      <c r="P544" s="3"/>
      <c r="Q544" s="3"/>
      <c r="R544" s="3"/>
      <c r="S544" s="3"/>
      <c r="T544" s="3"/>
      <c r="U544" s="3"/>
      <c r="V544" s="14"/>
      <c r="W544" s="32"/>
      <c r="X544" s="32"/>
      <c r="Y544" s="3"/>
      <c r="Z544" s="3"/>
      <c r="AA544" s="24"/>
      <c r="AB544" s="24"/>
      <c r="AC544" s="24"/>
      <c r="AD544" s="24"/>
      <c r="AG544" s="2"/>
      <c r="AH544" s="165"/>
      <c r="AI544" s="165"/>
      <c r="AJ544" s="166"/>
      <c r="AK544" s="1"/>
      <c r="AL544" s="5"/>
      <c r="AM544" s="3"/>
      <c r="AN544" s="3"/>
      <c r="AO544" s="5"/>
      <c r="AP544" s="5"/>
      <c r="AQ544" s="5"/>
      <c r="AR544" s="5"/>
    </row>
    <row r="545" spans="1:44" s="131" customFormat="1">
      <c r="A545" s="163">
        <v>544</v>
      </c>
      <c r="B545" s="167">
        <v>2023</v>
      </c>
      <c r="C545" s="119" t="s">
        <v>139</v>
      </c>
      <c r="D545" s="86" t="s">
        <v>108</v>
      </c>
      <c r="E545" s="86" t="s">
        <v>17</v>
      </c>
      <c r="F545" s="86" t="s">
        <v>37</v>
      </c>
      <c r="G545" s="86" t="s">
        <v>48</v>
      </c>
      <c r="H545" s="164">
        <v>45071</v>
      </c>
      <c r="I545" s="164"/>
      <c r="J545" s="88"/>
      <c r="K545" s="3"/>
      <c r="L545" s="3"/>
      <c r="M545" s="3"/>
      <c r="N545" s="3"/>
      <c r="O545" s="3"/>
      <c r="P545" s="3"/>
      <c r="Q545" s="3"/>
      <c r="R545" s="3"/>
      <c r="S545" s="3"/>
      <c r="T545" s="3"/>
      <c r="U545" s="3"/>
      <c r="V545" s="14"/>
      <c r="W545" s="32"/>
      <c r="X545" s="32"/>
      <c r="Y545" s="3"/>
      <c r="Z545" s="3"/>
      <c r="AA545" s="24"/>
      <c r="AB545" s="24"/>
      <c r="AC545" s="24"/>
      <c r="AD545" s="24"/>
      <c r="AG545" s="2"/>
      <c r="AH545" s="165"/>
      <c r="AI545" s="165"/>
      <c r="AJ545" s="166"/>
      <c r="AK545" s="1"/>
      <c r="AL545" s="5"/>
      <c r="AM545" s="3"/>
      <c r="AN545" s="3"/>
      <c r="AO545" s="5"/>
      <c r="AP545" s="5"/>
      <c r="AQ545" s="5"/>
      <c r="AR545" s="5"/>
    </row>
    <row r="546" spans="1:44" s="131" customFormat="1">
      <c r="A546" s="163">
        <v>545</v>
      </c>
      <c r="B546" s="167">
        <v>2023</v>
      </c>
      <c r="C546" s="119" t="s">
        <v>139</v>
      </c>
      <c r="D546" s="86" t="s">
        <v>108</v>
      </c>
      <c r="E546" s="86" t="s">
        <v>25</v>
      </c>
      <c r="F546" s="86" t="s">
        <v>35</v>
      </c>
      <c r="G546" s="86"/>
      <c r="H546" s="164">
        <v>45088</v>
      </c>
      <c r="I546" s="164"/>
      <c r="J546" s="88"/>
      <c r="K546" s="3"/>
      <c r="L546" s="3"/>
      <c r="M546" s="3"/>
      <c r="N546" s="3"/>
      <c r="O546" s="3"/>
      <c r="P546" s="3"/>
      <c r="Q546" s="3"/>
      <c r="R546" s="3"/>
      <c r="S546" s="3"/>
      <c r="T546" s="3"/>
      <c r="U546" s="3"/>
      <c r="V546" s="14"/>
      <c r="W546" s="32"/>
      <c r="X546" s="32"/>
      <c r="Y546" s="3"/>
      <c r="Z546" s="3"/>
      <c r="AA546" s="24"/>
      <c r="AB546" s="24"/>
      <c r="AC546" s="24"/>
      <c r="AD546" s="24"/>
      <c r="AG546" s="2"/>
      <c r="AH546" s="165"/>
      <c r="AI546" s="165"/>
      <c r="AJ546" s="166"/>
      <c r="AK546" s="1"/>
      <c r="AL546" s="5"/>
      <c r="AM546" s="3"/>
      <c r="AN546" s="3"/>
      <c r="AO546" s="5"/>
      <c r="AP546" s="5"/>
      <c r="AQ546" s="5"/>
      <c r="AR546" s="5"/>
    </row>
    <row r="547" spans="1:44" s="131" customFormat="1">
      <c r="A547" s="163">
        <v>546</v>
      </c>
      <c r="B547" s="167">
        <v>2023</v>
      </c>
      <c r="C547" s="119" t="s">
        <v>139</v>
      </c>
      <c r="D547" s="86" t="s">
        <v>108</v>
      </c>
      <c r="E547" s="86" t="s">
        <v>17</v>
      </c>
      <c r="F547" s="86" t="s">
        <v>37</v>
      </c>
      <c r="G547" s="86" t="s">
        <v>48</v>
      </c>
      <c r="H547" s="164">
        <v>45096</v>
      </c>
      <c r="I547" s="164"/>
      <c r="J547" s="88"/>
      <c r="K547" s="3"/>
      <c r="L547" s="3"/>
      <c r="M547" s="3"/>
      <c r="N547" s="3"/>
      <c r="O547" s="3"/>
      <c r="P547" s="3"/>
      <c r="Q547" s="3"/>
      <c r="R547" s="3"/>
      <c r="S547" s="3"/>
      <c r="T547" s="3"/>
      <c r="U547" s="3"/>
      <c r="V547" s="14"/>
      <c r="W547" s="32"/>
      <c r="X547" s="32"/>
      <c r="Y547" s="3"/>
      <c r="Z547" s="3"/>
      <c r="AA547" s="24"/>
      <c r="AB547" s="24"/>
      <c r="AC547" s="24"/>
      <c r="AD547" s="24"/>
      <c r="AG547" s="2"/>
      <c r="AH547" s="165"/>
      <c r="AI547" s="165"/>
      <c r="AJ547" s="166"/>
      <c r="AK547" s="1"/>
      <c r="AL547" s="5"/>
      <c r="AM547" s="3"/>
      <c r="AN547" s="3"/>
      <c r="AO547" s="5"/>
      <c r="AP547" s="5"/>
      <c r="AQ547" s="5"/>
      <c r="AR547" s="5"/>
    </row>
    <row r="548" spans="1:44" s="131" customFormat="1">
      <c r="A548" s="163">
        <v>547</v>
      </c>
      <c r="B548" s="167">
        <v>2023</v>
      </c>
      <c r="C548" s="119" t="s">
        <v>139</v>
      </c>
      <c r="D548" s="86" t="s">
        <v>108</v>
      </c>
      <c r="E548" s="86" t="s">
        <v>25</v>
      </c>
      <c r="F548" s="86" t="s">
        <v>35</v>
      </c>
      <c r="G548" s="86"/>
      <c r="H548" s="164">
        <v>45120</v>
      </c>
      <c r="I548" s="164"/>
      <c r="J548" s="88"/>
      <c r="K548" s="3"/>
      <c r="L548" s="3"/>
      <c r="M548" s="3"/>
      <c r="N548" s="3"/>
      <c r="O548" s="3"/>
      <c r="P548" s="3"/>
      <c r="Q548" s="3"/>
      <c r="R548" s="3"/>
      <c r="S548" s="3"/>
      <c r="T548" s="3"/>
      <c r="U548" s="3"/>
      <c r="V548" s="14"/>
      <c r="W548" s="32"/>
      <c r="X548" s="32"/>
      <c r="Y548" s="3"/>
      <c r="Z548" s="3"/>
      <c r="AA548" s="24"/>
      <c r="AB548" s="24"/>
      <c r="AC548" s="24"/>
      <c r="AD548" s="24"/>
      <c r="AG548" s="2"/>
      <c r="AH548" s="165"/>
      <c r="AI548" s="165"/>
      <c r="AJ548" s="166"/>
      <c r="AK548" s="1"/>
      <c r="AL548" s="5"/>
      <c r="AM548" s="3"/>
      <c r="AN548" s="3"/>
      <c r="AO548" s="5"/>
      <c r="AP548" s="5"/>
      <c r="AQ548" s="5"/>
      <c r="AR548" s="5"/>
    </row>
    <row r="549" spans="1:44" s="131" customFormat="1">
      <c r="A549" s="163">
        <v>548</v>
      </c>
      <c r="B549" s="167">
        <v>2023</v>
      </c>
      <c r="C549" s="119" t="s">
        <v>139</v>
      </c>
      <c r="D549" s="86" t="s">
        <v>108</v>
      </c>
      <c r="E549" s="86" t="s">
        <v>25</v>
      </c>
      <c r="F549" s="86" t="s">
        <v>35</v>
      </c>
      <c r="G549" s="86"/>
      <c r="H549" s="164">
        <v>45147</v>
      </c>
      <c r="I549" s="164"/>
      <c r="J549" s="88"/>
      <c r="K549" s="3"/>
      <c r="L549" s="3"/>
      <c r="M549" s="3"/>
      <c r="N549" s="3"/>
      <c r="O549" s="3"/>
      <c r="P549" s="3"/>
      <c r="Q549" s="3"/>
      <c r="R549" s="3"/>
      <c r="S549" s="3"/>
      <c r="T549" s="3"/>
      <c r="U549" s="3"/>
      <c r="V549" s="14"/>
      <c r="W549" s="32"/>
      <c r="X549" s="32"/>
      <c r="Y549" s="3"/>
      <c r="Z549" s="3"/>
      <c r="AA549" s="24"/>
      <c r="AB549" s="24"/>
      <c r="AC549" s="24"/>
      <c r="AD549" s="24"/>
      <c r="AG549" s="2"/>
      <c r="AH549" s="165"/>
      <c r="AI549" s="165"/>
      <c r="AJ549" s="166"/>
      <c r="AK549" s="1"/>
      <c r="AL549" s="5"/>
      <c r="AM549" s="3"/>
      <c r="AN549" s="3"/>
      <c r="AO549" s="5"/>
      <c r="AP549" s="5"/>
      <c r="AQ549" s="5"/>
      <c r="AR549" s="5"/>
    </row>
    <row r="550" spans="1:44" s="131" customFormat="1">
      <c r="A550" s="163">
        <v>549</v>
      </c>
      <c r="B550" s="167">
        <v>2023</v>
      </c>
      <c r="C550" s="119" t="s">
        <v>139</v>
      </c>
      <c r="D550" s="86" t="s">
        <v>108</v>
      </c>
      <c r="E550" s="86" t="s">
        <v>17</v>
      </c>
      <c r="F550" s="86" t="s">
        <v>37</v>
      </c>
      <c r="G550" s="86" t="s">
        <v>48</v>
      </c>
      <c r="H550" s="164">
        <v>45528</v>
      </c>
      <c r="I550" s="164"/>
      <c r="J550" s="88"/>
      <c r="K550" s="3"/>
      <c r="L550" s="3"/>
      <c r="M550" s="3"/>
      <c r="N550" s="3"/>
      <c r="O550" s="3"/>
      <c r="P550" s="3"/>
      <c r="Q550" s="3"/>
      <c r="R550" s="3"/>
      <c r="S550" s="3"/>
      <c r="T550" s="3"/>
      <c r="U550" s="3"/>
      <c r="V550" s="14"/>
      <c r="W550" s="32"/>
      <c r="X550" s="32"/>
      <c r="Y550" s="3"/>
      <c r="Z550" s="3"/>
      <c r="AA550" s="24"/>
      <c r="AB550" s="24"/>
      <c r="AC550" s="24"/>
      <c r="AD550" s="24"/>
      <c r="AG550" s="2"/>
      <c r="AH550" s="165"/>
      <c r="AI550" s="165"/>
      <c r="AJ550" s="166"/>
      <c r="AK550" s="1"/>
      <c r="AL550" s="5"/>
      <c r="AM550" s="3"/>
      <c r="AN550" s="3"/>
      <c r="AO550" s="5"/>
      <c r="AP550" s="5"/>
      <c r="AQ550" s="5"/>
      <c r="AR550" s="5"/>
    </row>
    <row r="551" spans="1:44" s="131" customFormat="1">
      <c r="A551" s="163">
        <v>550</v>
      </c>
      <c r="B551" s="167">
        <v>2023</v>
      </c>
      <c r="C551" s="119" t="s">
        <v>139</v>
      </c>
      <c r="D551" s="86" t="s">
        <v>108</v>
      </c>
      <c r="E551" s="86" t="s">
        <v>25</v>
      </c>
      <c r="F551" s="86" t="s">
        <v>35</v>
      </c>
      <c r="G551" s="86"/>
      <c r="H551" s="164">
        <v>45194</v>
      </c>
      <c r="I551" s="164"/>
      <c r="J551" s="88"/>
      <c r="K551" s="3"/>
      <c r="L551" s="3"/>
      <c r="M551" s="3"/>
      <c r="N551" s="3"/>
      <c r="O551" s="3"/>
      <c r="P551" s="3"/>
      <c r="Q551" s="3"/>
      <c r="R551" s="3"/>
      <c r="S551" s="3"/>
      <c r="T551" s="3"/>
      <c r="U551" s="3"/>
      <c r="V551" s="14"/>
      <c r="W551" s="32"/>
      <c r="X551" s="32"/>
      <c r="Y551" s="3"/>
      <c r="Z551" s="3"/>
      <c r="AA551" s="24"/>
      <c r="AB551" s="24"/>
      <c r="AC551" s="24"/>
      <c r="AD551" s="24"/>
      <c r="AG551" s="2"/>
      <c r="AH551" s="165"/>
      <c r="AI551" s="165"/>
      <c r="AJ551" s="166"/>
      <c r="AK551" s="1"/>
      <c r="AL551" s="5"/>
      <c r="AM551" s="3"/>
      <c r="AN551" s="3"/>
      <c r="AO551" s="5"/>
      <c r="AP551" s="5"/>
      <c r="AQ551" s="5"/>
      <c r="AR551" s="5"/>
    </row>
    <row r="552" spans="1:44" s="131" customFormat="1">
      <c r="A552" s="163">
        <v>551</v>
      </c>
      <c r="B552" s="167">
        <v>2023</v>
      </c>
      <c r="C552" s="119" t="s">
        <v>139</v>
      </c>
      <c r="D552" s="86" t="s">
        <v>108</v>
      </c>
      <c r="E552" s="86" t="s">
        <v>17</v>
      </c>
      <c r="F552" s="86" t="s">
        <v>37</v>
      </c>
      <c r="G552" s="86" t="s">
        <v>48</v>
      </c>
      <c r="H552" s="164">
        <v>45198</v>
      </c>
      <c r="I552" s="164"/>
      <c r="J552" s="88"/>
      <c r="K552" s="3"/>
      <c r="L552" s="3"/>
      <c r="M552" s="3"/>
      <c r="N552" s="3"/>
      <c r="O552" s="3"/>
      <c r="P552" s="3"/>
      <c r="Q552" s="3"/>
      <c r="R552" s="3"/>
      <c r="S552" s="3"/>
      <c r="T552" s="3"/>
      <c r="U552" s="3"/>
      <c r="V552" s="14"/>
      <c r="W552" s="32"/>
      <c r="X552" s="32"/>
      <c r="Y552" s="3"/>
      <c r="Z552" s="3"/>
      <c r="AA552" s="24"/>
      <c r="AB552" s="24"/>
      <c r="AC552" s="24"/>
      <c r="AD552" s="24"/>
      <c r="AG552" s="2"/>
      <c r="AH552" s="165"/>
      <c r="AI552" s="165"/>
      <c r="AJ552" s="166"/>
      <c r="AK552" s="1"/>
      <c r="AL552" s="5"/>
      <c r="AM552" s="3"/>
      <c r="AN552" s="3"/>
      <c r="AO552" s="5"/>
      <c r="AP552" s="5"/>
      <c r="AQ552" s="5"/>
      <c r="AR552" s="5"/>
    </row>
    <row r="553" spans="1:44" s="131" customFormat="1">
      <c r="A553" s="163">
        <v>552</v>
      </c>
      <c r="B553" s="167">
        <v>2023</v>
      </c>
      <c r="C553" s="119" t="s">
        <v>139</v>
      </c>
      <c r="D553" s="86" t="s">
        <v>108</v>
      </c>
      <c r="E553" s="86" t="s">
        <v>25</v>
      </c>
      <c r="F553" s="86" t="s">
        <v>35</v>
      </c>
      <c r="G553" s="86"/>
      <c r="H553" s="164">
        <v>45227</v>
      </c>
      <c r="I553" s="164">
        <v>45229</v>
      </c>
      <c r="J553" s="88"/>
      <c r="K553" s="3"/>
      <c r="L553" s="3"/>
      <c r="M553" s="3"/>
      <c r="N553" s="3"/>
      <c r="O553" s="3"/>
      <c r="P553" s="3"/>
      <c r="Q553" s="3"/>
      <c r="R553" s="3"/>
      <c r="S553" s="3"/>
      <c r="T553" s="3"/>
      <c r="U553" s="3"/>
      <c r="V553" s="14"/>
      <c r="W553" s="32"/>
      <c r="X553" s="32"/>
      <c r="Y553" s="3"/>
      <c r="Z553" s="3"/>
      <c r="AA553" s="24"/>
      <c r="AB553" s="24"/>
      <c r="AC553" s="24"/>
      <c r="AD553" s="24"/>
      <c r="AG553" s="2"/>
      <c r="AH553" s="165"/>
      <c r="AI553" s="165"/>
      <c r="AJ553" s="166"/>
      <c r="AK553" s="1"/>
      <c r="AL553" s="5"/>
      <c r="AM553" s="3"/>
      <c r="AN553" s="3"/>
      <c r="AO553" s="5"/>
      <c r="AP553" s="5"/>
      <c r="AQ553" s="5"/>
      <c r="AR553" s="5"/>
    </row>
    <row r="554" spans="1:44" s="131" customFormat="1">
      <c r="A554" s="163">
        <v>553</v>
      </c>
      <c r="B554" s="168">
        <v>2024</v>
      </c>
      <c r="C554" s="120" t="s">
        <v>138</v>
      </c>
      <c r="D554" s="86" t="s">
        <v>108</v>
      </c>
      <c r="E554" s="86" t="s">
        <v>25</v>
      </c>
      <c r="F554" s="86" t="s">
        <v>29</v>
      </c>
      <c r="G554" s="86" t="s">
        <v>47</v>
      </c>
      <c r="H554" s="164">
        <v>45311</v>
      </c>
      <c r="I554" s="164">
        <v>45314</v>
      </c>
      <c r="J554" s="88"/>
      <c r="K554" s="3"/>
      <c r="L554" s="3"/>
      <c r="M554" s="3"/>
      <c r="N554" s="3"/>
      <c r="O554" s="3"/>
      <c r="P554" s="3"/>
      <c r="Q554" s="3"/>
      <c r="R554" s="3"/>
      <c r="S554" s="3"/>
      <c r="T554" s="3"/>
      <c r="U554" s="3"/>
      <c r="V554" s="14"/>
      <c r="W554" s="32"/>
      <c r="X554" s="32"/>
      <c r="Y554" s="3"/>
      <c r="Z554" s="3"/>
      <c r="AA554" s="24"/>
      <c r="AB554" s="24"/>
      <c r="AC554" s="24"/>
      <c r="AD554" s="24"/>
      <c r="AG554" s="2"/>
      <c r="AH554" s="165"/>
      <c r="AI554" s="165"/>
      <c r="AJ554" s="166"/>
      <c r="AK554" s="1"/>
      <c r="AL554" s="5"/>
      <c r="AM554" s="3"/>
      <c r="AN554" s="3"/>
      <c r="AO554" s="5"/>
      <c r="AP554" s="5"/>
      <c r="AQ554" s="5"/>
      <c r="AR554" s="5"/>
    </row>
    <row r="555" spans="1:44" s="131" customFormat="1">
      <c r="A555" s="163">
        <v>554</v>
      </c>
      <c r="B555" s="168">
        <v>2024</v>
      </c>
      <c r="C555" s="120" t="s">
        <v>138</v>
      </c>
      <c r="D555" s="86" t="s">
        <v>108</v>
      </c>
      <c r="E555" s="86" t="s">
        <v>17</v>
      </c>
      <c r="F555" s="86" t="s">
        <v>37</v>
      </c>
      <c r="G555" s="86" t="s">
        <v>48</v>
      </c>
      <c r="H555" s="164">
        <v>45350</v>
      </c>
      <c r="I555" s="164"/>
      <c r="J555" s="88"/>
      <c r="K555" s="3"/>
      <c r="L555" s="3"/>
      <c r="M555" s="3"/>
      <c r="N555" s="3"/>
      <c r="O555" s="3"/>
      <c r="P555" s="3"/>
      <c r="Q555" s="3"/>
      <c r="R555" s="3"/>
      <c r="S555" s="3"/>
      <c r="T555" s="3"/>
      <c r="U555" s="3"/>
      <c r="V555" s="14"/>
      <c r="W555" s="32"/>
      <c r="X555" s="32"/>
      <c r="Y555" s="3"/>
      <c r="Z555" s="3"/>
      <c r="AA555" s="24"/>
      <c r="AB555" s="24"/>
      <c r="AC555" s="24"/>
      <c r="AD555" s="24"/>
      <c r="AG555" s="2"/>
      <c r="AH555" s="165"/>
      <c r="AI555" s="165"/>
      <c r="AJ555" s="166"/>
      <c r="AK555" s="1"/>
      <c r="AL555" s="5"/>
      <c r="AM555" s="3"/>
      <c r="AN555" s="3"/>
      <c r="AO555" s="5"/>
      <c r="AP555" s="5"/>
      <c r="AQ555" s="5"/>
      <c r="AR555" s="5"/>
    </row>
    <row r="556" spans="1:44" s="131" customFormat="1">
      <c r="A556" s="163">
        <v>555</v>
      </c>
      <c r="B556" s="168">
        <v>2024</v>
      </c>
      <c r="C556" s="120" t="s">
        <v>138</v>
      </c>
      <c r="D556" s="86" t="s">
        <v>108</v>
      </c>
      <c r="E556" s="86" t="s">
        <v>26</v>
      </c>
      <c r="F556" s="86" t="s">
        <v>33</v>
      </c>
      <c r="G556" s="86"/>
      <c r="H556" s="164">
        <v>45370</v>
      </c>
      <c r="I556" s="164"/>
      <c r="J556" s="88"/>
      <c r="K556" s="3"/>
      <c r="L556" s="3"/>
      <c r="M556" s="3"/>
      <c r="N556" s="3"/>
      <c r="O556" s="3"/>
      <c r="P556" s="3"/>
      <c r="Q556" s="3"/>
      <c r="R556" s="3"/>
      <c r="S556" s="3"/>
      <c r="T556" s="3"/>
      <c r="U556" s="3"/>
      <c r="V556" s="14"/>
      <c r="W556" s="32"/>
      <c r="X556" s="32"/>
      <c r="Y556" s="3"/>
      <c r="Z556" s="3"/>
      <c r="AA556" s="24"/>
      <c r="AB556" s="24"/>
      <c r="AC556" s="24"/>
      <c r="AD556" s="24"/>
      <c r="AG556" s="2"/>
      <c r="AH556" s="165"/>
      <c r="AI556" s="165"/>
      <c r="AJ556" s="166"/>
      <c r="AK556" s="1"/>
      <c r="AL556" s="5"/>
      <c r="AM556" s="3"/>
      <c r="AN556" s="3"/>
      <c r="AO556" s="5"/>
      <c r="AP556" s="5"/>
      <c r="AQ556" s="5"/>
      <c r="AR556" s="5"/>
    </row>
    <row r="557" spans="1:44" s="131" customFormat="1">
      <c r="A557" s="163">
        <v>556</v>
      </c>
      <c r="B557" s="168">
        <v>2024</v>
      </c>
      <c r="C557" s="120" t="s">
        <v>138</v>
      </c>
      <c r="D557" s="86" t="s">
        <v>108</v>
      </c>
      <c r="E557" s="86" t="s">
        <v>25</v>
      </c>
      <c r="F557" s="86" t="s">
        <v>35</v>
      </c>
      <c r="G557" s="86"/>
      <c r="H557" s="164">
        <v>45393</v>
      </c>
      <c r="I557" s="164"/>
      <c r="J557" s="88"/>
      <c r="K557" s="3"/>
      <c r="L557" s="3"/>
      <c r="M557" s="3"/>
      <c r="N557" s="3"/>
      <c r="O557" s="3"/>
      <c r="P557" s="3"/>
      <c r="Q557" s="3"/>
      <c r="R557" s="3"/>
      <c r="S557" s="3"/>
      <c r="T557" s="3"/>
      <c r="U557" s="3"/>
      <c r="V557" s="14"/>
      <c r="W557" s="32"/>
      <c r="X557" s="32"/>
      <c r="Y557" s="3"/>
      <c r="Z557" s="3"/>
      <c r="AA557" s="24"/>
      <c r="AB557" s="24"/>
      <c r="AC557" s="24"/>
      <c r="AD557" s="24"/>
      <c r="AG557" s="2"/>
      <c r="AH557" s="165"/>
      <c r="AI557" s="165"/>
      <c r="AJ557" s="166"/>
      <c r="AK557" s="1"/>
      <c r="AL557" s="5"/>
      <c r="AM557" s="3"/>
      <c r="AN557" s="3"/>
      <c r="AO557" s="5"/>
      <c r="AP557" s="5"/>
      <c r="AQ557" s="5"/>
      <c r="AR557" s="5"/>
    </row>
    <row r="558" spans="1:44" s="131" customFormat="1">
      <c r="A558" s="163">
        <v>557</v>
      </c>
      <c r="B558" s="168">
        <v>2024</v>
      </c>
      <c r="C558" s="120" t="s">
        <v>138</v>
      </c>
      <c r="D558" s="86" t="s">
        <v>108</v>
      </c>
      <c r="E558" s="86" t="s">
        <v>17</v>
      </c>
      <c r="F558" s="86" t="s">
        <v>37</v>
      </c>
      <c r="G558" s="86" t="s">
        <v>48</v>
      </c>
      <c r="H558" s="164">
        <v>45414</v>
      </c>
      <c r="I558" s="164"/>
      <c r="J558" s="88"/>
      <c r="K558" s="3"/>
      <c r="L558" s="3"/>
      <c r="M558" s="3"/>
      <c r="N558" s="3"/>
      <c r="O558" s="3"/>
      <c r="P558" s="3"/>
      <c r="Q558" s="3"/>
      <c r="R558" s="3"/>
      <c r="S558" s="3"/>
      <c r="T558" s="3"/>
      <c r="U558" s="3"/>
      <c r="V558" s="14"/>
      <c r="W558" s="32"/>
      <c r="X558" s="32"/>
      <c r="Y558" s="3"/>
      <c r="Z558" s="3"/>
      <c r="AA558" s="24"/>
      <c r="AB558" s="24"/>
      <c r="AC558" s="24"/>
      <c r="AD558" s="24"/>
      <c r="AG558" s="2"/>
      <c r="AH558" s="165"/>
      <c r="AI558" s="165"/>
      <c r="AJ558" s="166"/>
      <c r="AK558" s="1"/>
      <c r="AL558" s="5"/>
      <c r="AM558" s="3"/>
      <c r="AN558" s="3"/>
      <c r="AO558" s="5"/>
      <c r="AP558" s="5"/>
      <c r="AQ558" s="5"/>
      <c r="AR558" s="5"/>
    </row>
    <row r="559" spans="1:44" s="131" customFormat="1">
      <c r="A559" s="163">
        <v>558</v>
      </c>
      <c r="B559" s="168">
        <v>2024</v>
      </c>
      <c r="C559" s="120" t="s">
        <v>138</v>
      </c>
      <c r="D559" s="86" t="s">
        <v>108</v>
      </c>
      <c r="E559" s="86" t="s">
        <v>25</v>
      </c>
      <c r="F559" s="86" t="s">
        <v>35</v>
      </c>
      <c r="G559" s="86"/>
      <c r="H559" s="164">
        <v>45454</v>
      </c>
      <c r="I559" s="164">
        <v>45462</v>
      </c>
      <c r="J559" s="88"/>
      <c r="K559" s="3"/>
      <c r="L559" s="3"/>
      <c r="M559" s="3"/>
      <c r="N559" s="3"/>
      <c r="O559" s="3"/>
      <c r="P559" s="3"/>
      <c r="Q559" s="3"/>
      <c r="R559" s="3"/>
      <c r="S559" s="3"/>
      <c r="T559" s="3"/>
      <c r="U559" s="3"/>
      <c r="V559" s="14"/>
      <c r="W559" s="32"/>
      <c r="X559" s="32"/>
      <c r="Y559" s="3"/>
      <c r="Z559" s="3"/>
      <c r="AA559" s="24"/>
      <c r="AB559" s="24"/>
      <c r="AC559" s="24"/>
      <c r="AD559" s="24"/>
      <c r="AG559" s="2"/>
      <c r="AH559" s="165"/>
      <c r="AI559" s="165"/>
      <c r="AJ559" s="166"/>
      <c r="AK559" s="1"/>
      <c r="AL559" s="5"/>
      <c r="AM559" s="3"/>
      <c r="AN559" s="3"/>
      <c r="AO559" s="5"/>
      <c r="AP559" s="5"/>
      <c r="AQ559" s="5"/>
      <c r="AR559" s="5"/>
    </row>
    <row r="560" spans="1:44" s="131" customFormat="1">
      <c r="A560" s="163">
        <v>559</v>
      </c>
      <c r="B560" s="168">
        <v>2024</v>
      </c>
      <c r="C560" s="120" t="s">
        <v>138</v>
      </c>
      <c r="D560" s="86" t="s">
        <v>108</v>
      </c>
      <c r="E560" s="86" t="s">
        <v>24</v>
      </c>
      <c r="F560" s="86" t="s">
        <v>30</v>
      </c>
      <c r="G560" s="86"/>
      <c r="H560" s="164">
        <v>45463</v>
      </c>
      <c r="I560" s="164"/>
      <c r="J560" s="88"/>
      <c r="K560" s="3"/>
      <c r="L560" s="3"/>
      <c r="M560" s="3"/>
      <c r="N560" s="3"/>
      <c r="O560" s="3"/>
      <c r="P560" s="3"/>
      <c r="Q560" s="3"/>
      <c r="R560" s="3"/>
      <c r="S560" s="3"/>
      <c r="T560" s="3"/>
      <c r="U560" s="3"/>
      <c r="V560" s="14"/>
      <c r="W560" s="32"/>
      <c r="X560" s="32"/>
      <c r="Y560" s="3"/>
      <c r="Z560" s="3"/>
      <c r="AA560" s="24"/>
      <c r="AB560" s="24"/>
      <c r="AC560" s="24"/>
      <c r="AD560" s="24"/>
      <c r="AG560" s="2"/>
      <c r="AH560" s="165"/>
      <c r="AI560" s="165"/>
      <c r="AJ560" s="166"/>
      <c r="AK560" s="1"/>
      <c r="AL560" s="5"/>
      <c r="AM560" s="3"/>
      <c r="AN560" s="3"/>
      <c r="AO560" s="5"/>
      <c r="AP560" s="5"/>
      <c r="AQ560" s="5"/>
      <c r="AR560" s="5"/>
    </row>
    <row r="561" spans="1:44" s="131" customFormat="1">
      <c r="A561" s="163">
        <v>560</v>
      </c>
      <c r="B561" s="168">
        <v>2024</v>
      </c>
      <c r="C561" s="120" t="s">
        <v>138</v>
      </c>
      <c r="D561" s="86" t="s">
        <v>108</v>
      </c>
      <c r="E561" s="86" t="s">
        <v>24</v>
      </c>
      <c r="F561" s="86" t="s">
        <v>42</v>
      </c>
      <c r="G561" s="86"/>
      <c r="H561" s="164">
        <v>45463</v>
      </c>
      <c r="I561" s="164"/>
      <c r="J561" s="88"/>
      <c r="K561" s="3"/>
      <c r="L561" s="3"/>
      <c r="M561" s="3"/>
      <c r="N561" s="3"/>
      <c r="O561" s="3"/>
      <c r="P561" s="3"/>
      <c r="Q561" s="3"/>
      <c r="R561" s="3"/>
      <c r="S561" s="3"/>
      <c r="T561" s="3"/>
      <c r="U561" s="3"/>
      <c r="V561" s="14"/>
      <c r="W561" s="32"/>
      <c r="X561" s="32"/>
      <c r="Y561" s="3"/>
      <c r="Z561" s="3"/>
      <c r="AA561" s="24"/>
      <c r="AB561" s="24"/>
      <c r="AC561" s="24"/>
      <c r="AD561" s="24"/>
      <c r="AG561" s="2"/>
      <c r="AH561" s="165"/>
      <c r="AI561" s="165"/>
      <c r="AJ561" s="166"/>
      <c r="AK561" s="1"/>
      <c r="AL561" s="5"/>
      <c r="AM561" s="3"/>
      <c r="AN561" s="3"/>
      <c r="AO561" s="5"/>
      <c r="AP561" s="5"/>
      <c r="AQ561" s="5"/>
      <c r="AR561" s="5"/>
    </row>
    <row r="562" spans="1:44" s="131" customFormat="1">
      <c r="A562" s="163">
        <v>561</v>
      </c>
      <c r="B562" s="168">
        <v>2024</v>
      </c>
      <c r="C562" s="120" t="s">
        <v>138</v>
      </c>
      <c r="D562" s="86" t="s">
        <v>108</v>
      </c>
      <c r="E562" s="86" t="s">
        <v>17</v>
      </c>
      <c r="F562" s="86" t="s">
        <v>37</v>
      </c>
      <c r="G562" s="86" t="s">
        <v>48</v>
      </c>
      <c r="H562" s="164">
        <v>45470</v>
      </c>
      <c r="I562" s="164"/>
      <c r="J562" s="88"/>
      <c r="K562" s="3"/>
      <c r="L562" s="3"/>
      <c r="M562" s="3"/>
      <c r="N562" s="3"/>
      <c r="O562" s="3"/>
      <c r="P562" s="3"/>
      <c r="Q562" s="3"/>
      <c r="R562" s="3"/>
      <c r="S562" s="3"/>
      <c r="T562" s="3"/>
      <c r="U562" s="3"/>
      <c r="V562" s="14"/>
      <c r="W562" s="32"/>
      <c r="X562" s="32"/>
      <c r="Y562" s="3"/>
      <c r="Z562" s="3"/>
      <c r="AA562" s="24"/>
      <c r="AB562" s="24"/>
      <c r="AC562" s="24"/>
      <c r="AD562" s="24"/>
      <c r="AG562" s="2"/>
      <c r="AH562" s="165"/>
      <c r="AI562" s="165"/>
      <c r="AJ562" s="166"/>
      <c r="AK562" s="1"/>
      <c r="AL562" s="5"/>
      <c r="AM562" s="3"/>
      <c r="AN562" s="3"/>
      <c r="AO562" s="5"/>
      <c r="AP562" s="5"/>
      <c r="AQ562" s="5"/>
      <c r="AR562" s="5"/>
    </row>
    <row r="563" spans="1:44" s="131" customFormat="1">
      <c r="A563" s="163">
        <v>562</v>
      </c>
      <c r="B563" s="168">
        <v>2024</v>
      </c>
      <c r="C563" s="120" t="s">
        <v>138</v>
      </c>
      <c r="D563" s="86" t="s">
        <v>108</v>
      </c>
      <c r="E563" s="86" t="s">
        <v>25</v>
      </c>
      <c r="F563" s="86" t="s">
        <v>35</v>
      </c>
      <c r="G563" s="86"/>
      <c r="H563" s="164">
        <v>45490</v>
      </c>
      <c r="I563" s="164"/>
      <c r="J563" s="88"/>
      <c r="K563" s="3"/>
      <c r="L563" s="3"/>
      <c r="M563" s="3"/>
      <c r="N563" s="3"/>
      <c r="O563" s="3"/>
      <c r="P563" s="3"/>
      <c r="Q563" s="3"/>
      <c r="R563" s="3"/>
      <c r="S563" s="3"/>
      <c r="T563" s="3"/>
      <c r="U563" s="3"/>
      <c r="V563" s="14"/>
      <c r="W563" s="32"/>
      <c r="X563" s="32"/>
      <c r="Y563" s="3"/>
      <c r="Z563" s="3"/>
      <c r="AA563" s="24"/>
      <c r="AB563" s="24"/>
      <c r="AC563" s="24"/>
      <c r="AD563" s="24"/>
      <c r="AG563" s="2"/>
      <c r="AH563" s="165"/>
      <c r="AI563" s="165"/>
      <c r="AJ563" s="166"/>
      <c r="AK563" s="1"/>
      <c r="AL563" s="5"/>
      <c r="AM563" s="3"/>
      <c r="AN563" s="3"/>
      <c r="AO563" s="5"/>
      <c r="AP563" s="5"/>
      <c r="AQ563" s="5"/>
      <c r="AR563" s="5"/>
    </row>
    <row r="564" spans="1:44" s="131" customFormat="1">
      <c r="A564" s="163">
        <v>563</v>
      </c>
      <c r="B564" s="168">
        <v>2024</v>
      </c>
      <c r="C564" s="120" t="s">
        <v>138</v>
      </c>
      <c r="D564" s="86" t="s">
        <v>108</v>
      </c>
      <c r="E564" s="86" t="s">
        <v>17</v>
      </c>
      <c r="F564" s="86" t="s">
        <v>37</v>
      </c>
      <c r="G564" s="86" t="s">
        <v>48</v>
      </c>
      <c r="H564" s="164">
        <v>45511</v>
      </c>
      <c r="I564" s="164"/>
      <c r="J564" s="88"/>
      <c r="K564" s="3"/>
      <c r="L564" s="3"/>
      <c r="M564" s="3"/>
      <c r="N564" s="3"/>
      <c r="O564" s="3"/>
      <c r="P564" s="3"/>
      <c r="Q564" s="3"/>
      <c r="R564" s="3"/>
      <c r="S564" s="3"/>
      <c r="T564" s="3"/>
      <c r="U564" s="3"/>
      <c r="V564" s="14"/>
      <c r="W564" s="32"/>
      <c r="X564" s="32"/>
      <c r="Y564" s="3"/>
      <c r="Z564" s="3"/>
      <c r="AA564" s="24"/>
      <c r="AB564" s="24"/>
      <c r="AC564" s="24"/>
      <c r="AD564" s="24"/>
      <c r="AG564" s="2"/>
      <c r="AH564" s="165"/>
      <c r="AI564" s="165"/>
      <c r="AJ564" s="166"/>
      <c r="AK564" s="1"/>
      <c r="AL564" s="5"/>
      <c r="AM564" s="3"/>
      <c r="AN564" s="3"/>
      <c r="AO564" s="5"/>
      <c r="AP564" s="5"/>
      <c r="AQ564" s="5"/>
      <c r="AR564" s="5"/>
    </row>
    <row r="565" spans="1:44" s="131" customFormat="1">
      <c r="A565" s="163">
        <v>564</v>
      </c>
      <c r="B565" s="168">
        <v>2024</v>
      </c>
      <c r="C565" s="120" t="s">
        <v>138</v>
      </c>
      <c r="D565" s="86" t="s">
        <v>108</v>
      </c>
      <c r="E565" s="86" t="s">
        <v>25</v>
      </c>
      <c r="F565" s="86" t="s">
        <v>35</v>
      </c>
      <c r="G565" s="86"/>
      <c r="H565" s="164">
        <v>45526</v>
      </c>
      <c r="I565" s="164"/>
      <c r="J565" s="88"/>
      <c r="K565" s="3"/>
      <c r="L565" s="3"/>
      <c r="M565" s="3"/>
      <c r="N565" s="3"/>
      <c r="O565" s="3"/>
      <c r="P565" s="3"/>
      <c r="Q565" s="3"/>
      <c r="R565" s="3"/>
      <c r="S565" s="3"/>
      <c r="T565" s="3"/>
      <c r="U565" s="3"/>
      <c r="V565" s="14"/>
      <c r="W565" s="32"/>
      <c r="X565" s="32"/>
      <c r="Y565" s="3"/>
      <c r="Z565" s="3"/>
      <c r="AA565" s="24"/>
      <c r="AB565" s="24"/>
      <c r="AC565" s="24"/>
      <c r="AD565" s="24"/>
      <c r="AG565" s="2"/>
      <c r="AH565" s="165"/>
      <c r="AI565" s="165"/>
      <c r="AJ565" s="166"/>
      <c r="AK565" s="1"/>
      <c r="AL565" s="5"/>
      <c r="AM565" s="3"/>
      <c r="AN565" s="3"/>
      <c r="AO565" s="5"/>
      <c r="AP565" s="5"/>
      <c r="AQ565" s="5"/>
      <c r="AR565" s="5"/>
    </row>
    <row r="566" spans="1:44" s="131" customFormat="1">
      <c r="A566" s="163">
        <v>565</v>
      </c>
      <c r="B566" s="168">
        <v>2024</v>
      </c>
      <c r="C566" s="120" t="s">
        <v>138</v>
      </c>
      <c r="D566" s="86" t="s">
        <v>108</v>
      </c>
      <c r="E566" s="86" t="s">
        <v>17</v>
      </c>
      <c r="F566" s="86" t="s">
        <v>37</v>
      </c>
      <c r="G566" s="86" t="s">
        <v>48</v>
      </c>
      <c r="H566" s="164">
        <v>45531</v>
      </c>
      <c r="I566" s="164"/>
      <c r="J566" s="88"/>
      <c r="K566" s="3"/>
      <c r="L566" s="3"/>
      <c r="M566" s="3"/>
      <c r="N566" s="3"/>
      <c r="O566" s="3"/>
      <c r="P566" s="3"/>
      <c r="Q566" s="3"/>
      <c r="R566" s="3"/>
      <c r="S566" s="3"/>
      <c r="T566" s="3"/>
      <c r="U566" s="3"/>
      <c r="V566" s="14"/>
      <c r="W566" s="32"/>
      <c r="X566" s="32"/>
      <c r="Y566" s="3"/>
      <c r="Z566" s="3"/>
      <c r="AA566" s="24"/>
      <c r="AB566" s="24"/>
      <c r="AC566" s="24"/>
      <c r="AD566" s="24"/>
      <c r="AG566" s="2"/>
      <c r="AH566" s="165"/>
      <c r="AI566" s="165"/>
      <c r="AJ566" s="166"/>
      <c r="AK566" s="1"/>
      <c r="AL566" s="5"/>
      <c r="AM566" s="3"/>
      <c r="AN566" s="3"/>
      <c r="AO566" s="5"/>
      <c r="AP566" s="5"/>
      <c r="AQ566" s="5"/>
      <c r="AR566" s="5"/>
    </row>
    <row r="567" spans="1:44" s="131" customFormat="1">
      <c r="A567" s="163">
        <v>566</v>
      </c>
      <c r="B567" s="168">
        <v>2024</v>
      </c>
      <c r="C567" s="119" t="s">
        <v>139</v>
      </c>
      <c r="D567" s="86" t="s">
        <v>108</v>
      </c>
      <c r="E567" s="86" t="s">
        <v>25</v>
      </c>
      <c r="F567" s="86" t="s">
        <v>29</v>
      </c>
      <c r="G567" s="86" t="s">
        <v>47</v>
      </c>
      <c r="H567" s="164">
        <v>45311</v>
      </c>
      <c r="I567" s="164">
        <v>45314</v>
      </c>
      <c r="J567" s="88"/>
      <c r="K567" s="3"/>
      <c r="L567" s="3"/>
      <c r="M567" s="3"/>
      <c r="N567" s="3"/>
      <c r="O567" s="3"/>
      <c r="P567" s="3"/>
      <c r="Q567" s="3"/>
      <c r="R567" s="3"/>
      <c r="S567" s="3"/>
      <c r="T567" s="3"/>
      <c r="U567" s="3"/>
      <c r="V567" s="14"/>
      <c r="W567" s="32"/>
      <c r="X567" s="32"/>
      <c r="Y567" s="3"/>
      <c r="Z567" s="3"/>
      <c r="AA567" s="24"/>
      <c r="AB567" s="24"/>
      <c r="AC567" s="24"/>
      <c r="AD567" s="24"/>
      <c r="AG567" s="2"/>
      <c r="AH567" s="165"/>
      <c r="AI567" s="165"/>
      <c r="AJ567" s="166"/>
      <c r="AK567" s="1"/>
      <c r="AL567" s="5"/>
      <c r="AM567" s="3"/>
      <c r="AN567" s="3"/>
      <c r="AO567" s="5"/>
      <c r="AP567" s="5"/>
      <c r="AQ567" s="5"/>
      <c r="AR567" s="5"/>
    </row>
    <row r="568" spans="1:44" s="131" customFormat="1">
      <c r="A568" s="163">
        <v>567</v>
      </c>
      <c r="B568" s="168">
        <v>2024</v>
      </c>
      <c r="C568" s="119" t="s">
        <v>139</v>
      </c>
      <c r="D568" s="86" t="s">
        <v>108</v>
      </c>
      <c r="E568" s="86" t="s">
        <v>17</v>
      </c>
      <c r="F568" s="86" t="s">
        <v>37</v>
      </c>
      <c r="G568" s="86" t="s">
        <v>48</v>
      </c>
      <c r="H568" s="164">
        <v>45350</v>
      </c>
      <c r="I568" s="164"/>
      <c r="J568" s="88"/>
      <c r="K568" s="3"/>
      <c r="L568" s="3"/>
      <c r="M568" s="3"/>
      <c r="N568" s="3"/>
      <c r="O568" s="3"/>
      <c r="P568" s="3"/>
      <c r="Q568" s="3"/>
      <c r="R568" s="3"/>
      <c r="S568" s="3"/>
      <c r="T568" s="3"/>
      <c r="U568" s="3"/>
      <c r="V568" s="14"/>
      <c r="W568" s="32"/>
      <c r="X568" s="32"/>
      <c r="Y568" s="3"/>
      <c r="Z568" s="3"/>
      <c r="AA568" s="24"/>
      <c r="AB568" s="24"/>
      <c r="AC568" s="24"/>
      <c r="AD568" s="24"/>
      <c r="AG568" s="2"/>
      <c r="AH568" s="165"/>
      <c r="AI568" s="165"/>
      <c r="AJ568" s="166"/>
      <c r="AK568" s="1"/>
      <c r="AL568" s="5"/>
      <c r="AM568" s="3"/>
      <c r="AN568" s="3"/>
      <c r="AO568" s="5"/>
      <c r="AP568" s="5"/>
      <c r="AQ568" s="5"/>
      <c r="AR568" s="5"/>
    </row>
    <row r="569" spans="1:44" s="131" customFormat="1">
      <c r="A569" s="163">
        <v>568</v>
      </c>
      <c r="B569" s="168">
        <v>2024</v>
      </c>
      <c r="C569" s="119" t="s">
        <v>139</v>
      </c>
      <c r="D569" s="86" t="s">
        <v>108</v>
      </c>
      <c r="E569" s="86" t="s">
        <v>26</v>
      </c>
      <c r="F569" s="86" t="s">
        <v>33</v>
      </c>
      <c r="G569" s="86"/>
      <c r="H569" s="164">
        <v>45373</v>
      </c>
      <c r="I569" s="164"/>
      <c r="J569" s="88"/>
      <c r="K569" s="3"/>
      <c r="L569" s="3"/>
      <c r="M569" s="3"/>
      <c r="N569" s="3"/>
      <c r="O569" s="3"/>
      <c r="P569" s="3"/>
      <c r="Q569" s="3"/>
      <c r="R569" s="3"/>
      <c r="S569" s="3"/>
      <c r="T569" s="3"/>
      <c r="U569" s="3"/>
      <c r="V569" s="14"/>
      <c r="W569" s="32"/>
      <c r="X569" s="32"/>
      <c r="Y569" s="3"/>
      <c r="Z569" s="3"/>
      <c r="AA569" s="24"/>
      <c r="AB569" s="24"/>
      <c r="AC569" s="24"/>
      <c r="AD569" s="24"/>
      <c r="AG569" s="2"/>
      <c r="AH569" s="165"/>
      <c r="AI569" s="165"/>
      <c r="AJ569" s="166"/>
      <c r="AK569" s="1"/>
      <c r="AL569" s="5"/>
      <c r="AM569" s="3"/>
      <c r="AN569" s="3"/>
      <c r="AO569" s="5"/>
      <c r="AP569" s="5"/>
      <c r="AQ569" s="5"/>
      <c r="AR569" s="5"/>
    </row>
    <row r="570" spans="1:44" s="131" customFormat="1">
      <c r="A570" s="163">
        <v>569</v>
      </c>
      <c r="B570" s="168">
        <v>2024</v>
      </c>
      <c r="C570" s="119" t="s">
        <v>139</v>
      </c>
      <c r="D570" s="86" t="s">
        <v>108</v>
      </c>
      <c r="E570" s="86" t="s">
        <v>25</v>
      </c>
      <c r="F570" s="86" t="s">
        <v>35</v>
      </c>
      <c r="G570" s="86"/>
      <c r="H570" s="164">
        <v>45393</v>
      </c>
      <c r="I570" s="164"/>
      <c r="J570" s="88"/>
      <c r="K570" s="3"/>
      <c r="L570" s="3"/>
      <c r="M570" s="3"/>
      <c r="N570" s="3"/>
      <c r="O570" s="3"/>
      <c r="P570" s="3"/>
      <c r="Q570" s="3"/>
      <c r="R570" s="3"/>
      <c r="S570" s="3"/>
      <c r="T570" s="3"/>
      <c r="U570" s="3"/>
      <c r="V570" s="14"/>
      <c r="W570" s="32"/>
      <c r="X570" s="32"/>
      <c r="Y570" s="3"/>
      <c r="Z570" s="3"/>
      <c r="AA570" s="24"/>
      <c r="AB570" s="24"/>
      <c r="AC570" s="24"/>
      <c r="AD570" s="24"/>
      <c r="AG570" s="2"/>
      <c r="AH570" s="165"/>
      <c r="AI570" s="165"/>
      <c r="AJ570" s="166"/>
      <c r="AK570" s="1"/>
      <c r="AL570" s="5"/>
      <c r="AM570" s="3"/>
      <c r="AN570" s="3"/>
      <c r="AO570" s="5"/>
      <c r="AP570" s="5"/>
      <c r="AQ570" s="5"/>
      <c r="AR570" s="5"/>
    </row>
    <row r="571" spans="1:44" s="131" customFormat="1">
      <c r="A571" s="163">
        <v>570</v>
      </c>
      <c r="B571" s="168">
        <v>2024</v>
      </c>
      <c r="C571" s="119" t="s">
        <v>139</v>
      </c>
      <c r="D571" s="86" t="s">
        <v>108</v>
      </c>
      <c r="E571" s="86" t="s">
        <v>17</v>
      </c>
      <c r="F571" s="86" t="s">
        <v>37</v>
      </c>
      <c r="G571" s="86" t="s">
        <v>48</v>
      </c>
      <c r="H571" s="164">
        <v>45414</v>
      </c>
      <c r="I571" s="164"/>
      <c r="J571" s="88"/>
      <c r="K571" s="3"/>
      <c r="L571" s="3"/>
      <c r="M571" s="3"/>
      <c r="N571" s="3"/>
      <c r="O571" s="3"/>
      <c r="P571" s="3"/>
      <c r="Q571" s="3"/>
      <c r="R571" s="3"/>
      <c r="S571" s="3"/>
      <c r="T571" s="3"/>
      <c r="U571" s="3"/>
      <c r="V571" s="14"/>
      <c r="W571" s="32"/>
      <c r="X571" s="32"/>
      <c r="Y571" s="3"/>
      <c r="Z571" s="3"/>
      <c r="AA571" s="24"/>
      <c r="AB571" s="24"/>
      <c r="AC571" s="24"/>
      <c r="AD571" s="24"/>
      <c r="AG571" s="2"/>
      <c r="AH571" s="165"/>
      <c r="AI571" s="165"/>
      <c r="AJ571" s="166"/>
      <c r="AK571" s="1"/>
      <c r="AL571" s="5"/>
      <c r="AM571" s="3"/>
      <c r="AN571" s="3"/>
      <c r="AO571" s="5"/>
      <c r="AP571" s="5"/>
      <c r="AQ571" s="5"/>
      <c r="AR571" s="5"/>
    </row>
    <row r="572" spans="1:44" s="131" customFormat="1">
      <c r="A572" s="163">
        <v>571</v>
      </c>
      <c r="B572" s="168">
        <v>2024</v>
      </c>
      <c r="C572" s="119" t="s">
        <v>139</v>
      </c>
      <c r="D572" s="86" t="s">
        <v>108</v>
      </c>
      <c r="E572" s="86" t="s">
        <v>25</v>
      </c>
      <c r="F572" s="86" t="s">
        <v>35</v>
      </c>
      <c r="G572" s="86"/>
      <c r="H572" s="164">
        <v>45454</v>
      </c>
      <c r="I572" s="164">
        <v>45462</v>
      </c>
      <c r="J572" s="88"/>
      <c r="K572" s="3"/>
      <c r="L572" s="3"/>
      <c r="M572" s="3"/>
      <c r="N572" s="3"/>
      <c r="O572" s="3"/>
      <c r="P572" s="3"/>
      <c r="Q572" s="3"/>
      <c r="R572" s="3"/>
      <c r="S572" s="3"/>
      <c r="T572" s="3"/>
      <c r="U572" s="3"/>
      <c r="V572" s="14"/>
      <c r="W572" s="32"/>
      <c r="X572" s="32"/>
      <c r="Y572" s="3"/>
      <c r="Z572" s="3"/>
      <c r="AA572" s="24"/>
      <c r="AB572" s="24"/>
      <c r="AC572" s="24"/>
      <c r="AD572" s="24"/>
      <c r="AG572" s="2"/>
      <c r="AH572" s="165"/>
      <c r="AI572" s="165"/>
      <c r="AJ572" s="166"/>
      <c r="AK572" s="1"/>
      <c r="AL572" s="5"/>
      <c r="AM572" s="3"/>
      <c r="AN572" s="3"/>
      <c r="AO572" s="5"/>
      <c r="AP572" s="5"/>
      <c r="AQ572" s="5"/>
      <c r="AR572" s="5"/>
    </row>
    <row r="573" spans="1:44" s="131" customFormat="1">
      <c r="A573" s="163">
        <v>572</v>
      </c>
      <c r="B573" s="168">
        <v>2024</v>
      </c>
      <c r="C573" s="119" t="s">
        <v>139</v>
      </c>
      <c r="D573" s="86" t="s">
        <v>108</v>
      </c>
      <c r="E573" s="86" t="s">
        <v>24</v>
      </c>
      <c r="F573" s="86" t="s">
        <v>30</v>
      </c>
      <c r="G573" s="86"/>
      <c r="H573" s="164">
        <v>45463</v>
      </c>
      <c r="I573" s="164"/>
      <c r="J573" s="88"/>
      <c r="K573" s="3"/>
      <c r="L573" s="3"/>
      <c r="M573" s="3"/>
      <c r="N573" s="3"/>
      <c r="O573" s="3"/>
      <c r="P573" s="3"/>
      <c r="Q573" s="3"/>
      <c r="R573" s="3"/>
      <c r="S573" s="3"/>
      <c r="T573" s="3"/>
      <c r="U573" s="3"/>
      <c r="V573" s="14"/>
      <c r="W573" s="32"/>
      <c r="X573" s="32"/>
      <c r="Y573" s="3"/>
      <c r="Z573" s="3"/>
      <c r="AA573" s="24"/>
      <c r="AB573" s="24"/>
      <c r="AC573" s="24"/>
      <c r="AD573" s="24"/>
      <c r="AG573" s="2"/>
      <c r="AH573" s="165"/>
      <c r="AI573" s="165"/>
      <c r="AJ573" s="166"/>
      <c r="AK573" s="1"/>
      <c r="AL573" s="5"/>
      <c r="AM573" s="3"/>
      <c r="AN573" s="3"/>
      <c r="AO573" s="5"/>
      <c r="AP573" s="5"/>
      <c r="AQ573" s="5"/>
      <c r="AR573" s="5"/>
    </row>
    <row r="574" spans="1:44" s="131" customFormat="1">
      <c r="A574" s="163">
        <v>573</v>
      </c>
      <c r="B574" s="168">
        <v>2024</v>
      </c>
      <c r="C574" s="119" t="s">
        <v>139</v>
      </c>
      <c r="D574" s="86" t="s">
        <v>108</v>
      </c>
      <c r="E574" s="86" t="s">
        <v>24</v>
      </c>
      <c r="F574" s="86" t="s">
        <v>42</v>
      </c>
      <c r="G574" s="86"/>
      <c r="H574" s="164">
        <v>45463</v>
      </c>
      <c r="I574" s="164"/>
      <c r="J574" s="88"/>
      <c r="K574" s="3"/>
      <c r="L574" s="3"/>
      <c r="M574" s="3"/>
      <c r="N574" s="3"/>
      <c r="O574" s="3"/>
      <c r="P574" s="3"/>
      <c r="Q574" s="3"/>
      <c r="R574" s="3"/>
      <c r="S574" s="3"/>
      <c r="T574" s="3"/>
      <c r="U574" s="3"/>
      <c r="V574" s="14"/>
      <c r="W574" s="32"/>
      <c r="X574" s="32"/>
      <c r="Y574" s="3"/>
      <c r="Z574" s="3"/>
      <c r="AA574" s="24"/>
      <c r="AB574" s="24"/>
      <c r="AC574" s="24"/>
      <c r="AD574" s="24"/>
      <c r="AG574" s="2"/>
      <c r="AH574" s="165"/>
      <c r="AI574" s="165"/>
      <c r="AJ574" s="166"/>
      <c r="AK574" s="1"/>
      <c r="AL574" s="5"/>
      <c r="AM574" s="3"/>
      <c r="AN574" s="3"/>
      <c r="AO574" s="5"/>
      <c r="AP574" s="5"/>
      <c r="AQ574" s="5"/>
      <c r="AR574" s="5"/>
    </row>
    <row r="575" spans="1:44" s="131" customFormat="1">
      <c r="A575" s="163">
        <v>574</v>
      </c>
      <c r="B575" s="168">
        <v>2024</v>
      </c>
      <c r="C575" s="119" t="s">
        <v>139</v>
      </c>
      <c r="D575" s="86" t="s">
        <v>108</v>
      </c>
      <c r="E575" s="86" t="s">
        <v>17</v>
      </c>
      <c r="F575" s="86" t="s">
        <v>37</v>
      </c>
      <c r="G575" s="86" t="s">
        <v>48</v>
      </c>
      <c r="H575" s="164">
        <v>45470</v>
      </c>
      <c r="I575" s="164"/>
      <c r="J575" s="88"/>
      <c r="K575" s="3"/>
      <c r="L575" s="3"/>
      <c r="M575" s="3"/>
      <c r="N575" s="3"/>
      <c r="O575" s="3"/>
      <c r="P575" s="3"/>
      <c r="Q575" s="3"/>
      <c r="R575" s="3"/>
      <c r="S575" s="3"/>
      <c r="T575" s="3"/>
      <c r="U575" s="3"/>
      <c r="V575" s="14"/>
      <c r="W575" s="32"/>
      <c r="X575" s="32"/>
      <c r="Y575" s="3"/>
      <c r="Z575" s="3"/>
      <c r="AA575" s="24"/>
      <c r="AB575" s="24"/>
      <c r="AC575" s="24"/>
      <c r="AD575" s="24"/>
      <c r="AG575" s="2"/>
      <c r="AH575" s="165"/>
      <c r="AI575" s="165"/>
      <c r="AJ575" s="166"/>
      <c r="AK575" s="1"/>
      <c r="AL575" s="5"/>
      <c r="AM575" s="3"/>
      <c r="AN575" s="3"/>
      <c r="AO575" s="5"/>
      <c r="AP575" s="5"/>
      <c r="AQ575" s="5"/>
      <c r="AR575" s="5"/>
    </row>
    <row r="576" spans="1:44" s="131" customFormat="1">
      <c r="A576" s="163">
        <v>575</v>
      </c>
      <c r="B576" s="168">
        <v>2024</v>
      </c>
      <c r="C576" s="119" t="s">
        <v>139</v>
      </c>
      <c r="D576" s="86" t="s">
        <v>108</v>
      </c>
      <c r="E576" s="86" t="s">
        <v>25</v>
      </c>
      <c r="F576" s="86" t="s">
        <v>35</v>
      </c>
      <c r="G576" s="86"/>
      <c r="H576" s="164">
        <v>45490</v>
      </c>
      <c r="I576" s="164"/>
      <c r="J576" s="88"/>
      <c r="K576" s="3"/>
      <c r="L576" s="3"/>
      <c r="M576" s="3"/>
      <c r="N576" s="3"/>
      <c r="O576" s="3"/>
      <c r="P576" s="3"/>
      <c r="Q576" s="3"/>
      <c r="R576" s="3"/>
      <c r="S576" s="3"/>
      <c r="T576" s="3"/>
      <c r="U576" s="3"/>
      <c r="V576" s="14"/>
      <c r="W576" s="32"/>
      <c r="X576" s="32"/>
      <c r="Y576" s="3"/>
      <c r="Z576" s="3"/>
      <c r="AA576" s="24"/>
      <c r="AB576" s="24"/>
      <c r="AC576" s="24"/>
      <c r="AD576" s="24"/>
      <c r="AG576" s="2"/>
      <c r="AH576" s="165"/>
      <c r="AI576" s="165"/>
      <c r="AJ576" s="166"/>
      <c r="AK576" s="1"/>
      <c r="AL576" s="5"/>
      <c r="AM576" s="3"/>
      <c r="AN576" s="3"/>
      <c r="AO576" s="5"/>
      <c r="AP576" s="5"/>
      <c r="AQ576" s="5"/>
      <c r="AR576" s="5"/>
    </row>
    <row r="577" spans="1:44" s="131" customFormat="1">
      <c r="A577" s="163">
        <v>576</v>
      </c>
      <c r="B577" s="168">
        <v>2024</v>
      </c>
      <c r="C577" s="119" t="s">
        <v>139</v>
      </c>
      <c r="D577" s="86" t="s">
        <v>108</v>
      </c>
      <c r="E577" s="86" t="s">
        <v>17</v>
      </c>
      <c r="F577" s="86" t="s">
        <v>37</v>
      </c>
      <c r="G577" s="86" t="s">
        <v>48</v>
      </c>
      <c r="H577" s="164">
        <v>45511</v>
      </c>
      <c r="I577" s="164"/>
      <c r="J577" s="88"/>
      <c r="K577" s="3"/>
      <c r="L577" s="3"/>
      <c r="M577" s="3"/>
      <c r="N577" s="3"/>
      <c r="O577" s="3"/>
      <c r="P577" s="3"/>
      <c r="Q577" s="3"/>
      <c r="R577" s="3"/>
      <c r="S577" s="3"/>
      <c r="T577" s="3"/>
      <c r="U577" s="3"/>
      <c r="V577" s="14"/>
      <c r="W577" s="32"/>
      <c r="X577" s="32"/>
      <c r="Y577" s="3"/>
      <c r="Z577" s="3"/>
      <c r="AA577" s="24"/>
      <c r="AB577" s="24"/>
      <c r="AC577" s="24"/>
      <c r="AD577" s="24"/>
      <c r="AG577" s="2"/>
      <c r="AH577" s="165"/>
      <c r="AI577" s="165"/>
      <c r="AJ577" s="166"/>
      <c r="AK577" s="1"/>
      <c r="AL577" s="5"/>
      <c r="AM577" s="3"/>
      <c r="AN577" s="3"/>
      <c r="AO577" s="5"/>
      <c r="AP577" s="5"/>
      <c r="AQ577" s="5"/>
      <c r="AR577" s="5"/>
    </row>
    <row r="578" spans="1:44" s="131" customFormat="1">
      <c r="A578" s="163">
        <v>577</v>
      </c>
      <c r="B578" s="168">
        <v>2024</v>
      </c>
      <c r="C578" s="119" t="s">
        <v>139</v>
      </c>
      <c r="D578" s="86" t="s">
        <v>108</v>
      </c>
      <c r="E578" s="86" t="s">
        <v>25</v>
      </c>
      <c r="F578" s="86" t="s">
        <v>35</v>
      </c>
      <c r="G578" s="86"/>
      <c r="H578" s="164">
        <v>45526</v>
      </c>
      <c r="I578" s="164"/>
      <c r="J578" s="88"/>
      <c r="K578" s="3"/>
      <c r="L578" s="3"/>
      <c r="M578" s="3"/>
      <c r="N578" s="3"/>
      <c r="O578" s="3"/>
      <c r="P578" s="3"/>
      <c r="Q578" s="3"/>
      <c r="R578" s="3"/>
      <c r="S578" s="3"/>
      <c r="T578" s="3"/>
      <c r="U578" s="3"/>
      <c r="V578" s="14"/>
      <c r="W578" s="32"/>
      <c r="X578" s="32"/>
      <c r="Y578" s="3"/>
      <c r="Z578" s="3"/>
      <c r="AA578" s="24"/>
      <c r="AB578" s="24"/>
      <c r="AC578" s="24"/>
      <c r="AD578" s="24"/>
      <c r="AG578" s="2"/>
      <c r="AH578" s="165"/>
      <c r="AI578" s="165"/>
      <c r="AJ578" s="166"/>
      <c r="AK578" s="1"/>
      <c r="AL578" s="5"/>
      <c r="AM578" s="3"/>
      <c r="AN578" s="3"/>
      <c r="AO578" s="5"/>
      <c r="AP578" s="5"/>
      <c r="AQ578" s="5"/>
      <c r="AR578" s="5"/>
    </row>
    <row r="579" spans="1:44" s="131" customFormat="1">
      <c r="A579" s="163">
        <v>578</v>
      </c>
      <c r="B579" s="168">
        <v>2024</v>
      </c>
      <c r="C579" s="119" t="s">
        <v>139</v>
      </c>
      <c r="D579" s="86" t="s">
        <v>108</v>
      </c>
      <c r="E579" s="86" t="s">
        <v>17</v>
      </c>
      <c r="F579" s="86" t="s">
        <v>37</v>
      </c>
      <c r="G579" s="86" t="s">
        <v>48</v>
      </c>
      <c r="H579" s="164">
        <v>45531</v>
      </c>
      <c r="I579" s="164"/>
      <c r="J579" s="88"/>
      <c r="K579" s="3"/>
      <c r="L579" s="3"/>
      <c r="M579" s="3"/>
      <c r="N579" s="3"/>
      <c r="O579" s="3"/>
      <c r="P579" s="3"/>
      <c r="Q579" s="3"/>
      <c r="R579" s="3"/>
      <c r="S579" s="3"/>
      <c r="T579" s="3"/>
      <c r="U579" s="3"/>
      <c r="V579" s="14"/>
      <c r="W579" s="32"/>
      <c r="X579" s="32"/>
      <c r="Y579" s="3"/>
      <c r="Z579" s="3"/>
      <c r="AA579" s="24"/>
      <c r="AB579" s="24"/>
      <c r="AC579" s="24"/>
      <c r="AD579" s="24"/>
      <c r="AG579" s="2"/>
      <c r="AH579" s="165"/>
      <c r="AI579" s="165"/>
      <c r="AJ579" s="166"/>
      <c r="AK579" s="1"/>
      <c r="AL579" s="5"/>
      <c r="AM579" s="3"/>
      <c r="AN579" s="3"/>
      <c r="AO579" s="5"/>
      <c r="AP579" s="5"/>
      <c r="AQ579" s="5"/>
      <c r="AR579" s="5"/>
    </row>
  </sheetData>
  <sortState xmlns:xlrd2="http://schemas.microsoft.com/office/spreadsheetml/2017/richdata2" ref="A2:AR494">
    <sortCondition ref="B2:B494"/>
    <sortCondition ref="C2:C494"/>
    <sortCondition ref="H2:H494"/>
  </sortState>
  <pageMargins left="0.75" right="0.75" top="1" bottom="1" header="0.5" footer="0.5"/>
  <pageSetup paperSize="9" orientation="portrait" horizontalDpi="4294967292" verticalDpi="4294967292"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K110"/>
  <sheetViews>
    <sheetView workbookViewId="0">
      <selection activeCell="B110" sqref="B110"/>
    </sheetView>
  </sheetViews>
  <sheetFormatPr defaultRowHeight="15.75"/>
  <sheetData>
    <row r="1" spans="2:11">
      <c r="B1" s="96" t="s">
        <v>168</v>
      </c>
    </row>
    <row r="2" spans="2:11">
      <c r="B2" s="96" t="s">
        <v>169</v>
      </c>
    </row>
    <row r="3" spans="2:11">
      <c r="B3" s="96" t="s">
        <v>166</v>
      </c>
      <c r="K3" s="96" t="s">
        <v>167</v>
      </c>
    </row>
    <row r="55" spans="2:2">
      <c r="B55" s="96" t="s">
        <v>165</v>
      </c>
    </row>
    <row r="82" spans="2:2">
      <c r="B82" s="96" t="s">
        <v>164</v>
      </c>
    </row>
    <row r="83" spans="2:2">
      <c r="B83" s="96" t="s">
        <v>179</v>
      </c>
    </row>
    <row r="102" spans="2:2">
      <c r="B102" s="97" t="s">
        <v>159</v>
      </c>
    </row>
    <row r="103" spans="2:2">
      <c r="B103" s="74" t="s">
        <v>160</v>
      </c>
    </row>
    <row r="104" spans="2:2">
      <c r="B104" s="74" t="s">
        <v>161</v>
      </c>
    </row>
    <row r="105" spans="2:2">
      <c r="B105" s="74" t="s">
        <v>162</v>
      </c>
    </row>
    <row r="106" spans="2:2">
      <c r="B106" s="74" t="s">
        <v>163</v>
      </c>
    </row>
    <row r="109" spans="2:2">
      <c r="B109" s="74" t="s">
        <v>180</v>
      </c>
    </row>
    <row r="110" spans="2:2">
      <c r="B110" s="74" t="s">
        <v>181</v>
      </c>
    </row>
  </sheetData>
  <pageMargins left="0.7" right="0.7" top="0.75" bottom="0.75" header="0.3" footer="0.3"/>
  <pageSetup paperSize="9" orientation="portrait" horizontalDpi="360" verticalDpi="36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52"/>
  <sheetViews>
    <sheetView topLeftCell="A26" workbookViewId="0">
      <selection activeCell="A42" sqref="A42"/>
    </sheetView>
  </sheetViews>
  <sheetFormatPr defaultColWidth="11" defaultRowHeight="15.75"/>
  <cols>
    <col min="1" max="1" width="56.625" style="65" customWidth="1"/>
  </cols>
  <sheetData>
    <row r="1" spans="1:2" ht="21.95" customHeight="1">
      <c r="A1" s="78" t="s">
        <v>171</v>
      </c>
    </row>
    <row r="3" spans="1:2">
      <c r="A3" s="65" t="s">
        <v>135</v>
      </c>
    </row>
    <row r="6" spans="1:2">
      <c r="A6" s="66" t="s">
        <v>35</v>
      </c>
    </row>
    <row r="7" spans="1:2">
      <c r="A7" s="65" t="s">
        <v>134</v>
      </c>
    </row>
    <row r="9" spans="1:2">
      <c r="A9" s="76" t="s">
        <v>73</v>
      </c>
      <c r="B9" s="40"/>
    </row>
    <row r="10" spans="1:2">
      <c r="A10" s="76" t="s">
        <v>133</v>
      </c>
    </row>
    <row r="11" spans="1:2">
      <c r="A11" s="77" t="s">
        <v>132</v>
      </c>
    </row>
    <row r="12" spans="1:2">
      <c r="A12" s="81" t="s">
        <v>173</v>
      </c>
      <c r="B12" s="40"/>
    </row>
    <row r="13" spans="1:2">
      <c r="A13" s="81"/>
      <c r="B13" s="40"/>
    </row>
    <row r="14" spans="1:2">
      <c r="A14" s="40"/>
      <c r="B14" s="40"/>
    </row>
    <row r="15" spans="1:2">
      <c r="A15" s="67" t="s">
        <v>29</v>
      </c>
    </row>
    <row r="16" spans="1:2">
      <c r="A16" s="65" t="s">
        <v>111</v>
      </c>
    </row>
    <row r="17" spans="1:1">
      <c r="A17" s="65" t="s">
        <v>142</v>
      </c>
    </row>
    <row r="18" spans="1:1">
      <c r="A18" s="82" t="s">
        <v>143</v>
      </c>
    </row>
    <row r="19" spans="1:1">
      <c r="A19" s="65" t="s">
        <v>140</v>
      </c>
    </row>
    <row r="20" spans="1:1">
      <c r="A20" s="65" t="s">
        <v>141</v>
      </c>
    </row>
    <row r="23" spans="1:1">
      <c r="A23" s="68" t="s">
        <v>109</v>
      </c>
    </row>
    <row r="24" spans="1:1">
      <c r="A24" s="65" t="s">
        <v>110</v>
      </c>
    </row>
    <row r="25" spans="1:1">
      <c r="A25" s="65" t="s">
        <v>130</v>
      </c>
    </row>
    <row r="26" spans="1:1">
      <c r="A26" s="65" t="s">
        <v>129</v>
      </c>
    </row>
    <row r="29" spans="1:1">
      <c r="A29" s="69" t="s">
        <v>26</v>
      </c>
    </row>
    <row r="30" spans="1:1">
      <c r="A30" s="70" t="s">
        <v>124</v>
      </c>
    </row>
    <row r="31" spans="1:1">
      <c r="A31" s="70" t="s">
        <v>126</v>
      </c>
    </row>
    <row r="32" spans="1:1">
      <c r="A32" s="65" t="s">
        <v>125</v>
      </c>
    </row>
    <row r="35" spans="1:1">
      <c r="A35" s="71" t="s">
        <v>17</v>
      </c>
    </row>
    <row r="36" spans="1:1">
      <c r="A36" s="65" t="s">
        <v>170</v>
      </c>
    </row>
    <row r="39" spans="1:1">
      <c r="A39" s="72" t="s">
        <v>24</v>
      </c>
    </row>
    <row r="40" spans="1:1">
      <c r="A40" s="65" t="s">
        <v>119</v>
      </c>
    </row>
    <row r="41" spans="1:1">
      <c r="A41" s="65" t="s">
        <v>131</v>
      </c>
    </row>
    <row r="42" spans="1:1">
      <c r="A42" s="65" t="s">
        <v>118</v>
      </c>
    </row>
    <row r="45" spans="1:1">
      <c r="A45" s="73" t="s">
        <v>114</v>
      </c>
    </row>
    <row r="46" spans="1:1" s="80" customFormat="1" ht="26.1" customHeight="1">
      <c r="A46" s="65" t="s">
        <v>115</v>
      </c>
    </row>
    <row r="47" spans="1:1" ht="157.5">
      <c r="A47" s="79" t="s">
        <v>136</v>
      </c>
    </row>
    <row r="48" spans="1:1">
      <c r="A48" s="65" t="s">
        <v>117</v>
      </c>
    </row>
    <row r="49" spans="1:1">
      <c r="A49" s="65" t="s">
        <v>116</v>
      </c>
    </row>
    <row r="50" spans="1:1">
      <c r="A50" s="74" t="s">
        <v>113</v>
      </c>
    </row>
    <row r="51" spans="1:1">
      <c r="A51" s="65" t="s">
        <v>182</v>
      </c>
    </row>
    <row r="52" spans="1:1" ht="72">
      <c r="A52" s="79" t="s">
        <v>172</v>
      </c>
    </row>
  </sheetData>
  <pageMargins left="0.75" right="0.75" top="1" bottom="1" header="0.5" footer="0.5"/>
  <pageSetup paperSize="9" orientation="portrait" horizontalDpi="4294967292" verticalDpi="429496729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J87"/>
  <sheetViews>
    <sheetView topLeftCell="A103" workbookViewId="0">
      <selection activeCell="F87" sqref="F87"/>
    </sheetView>
  </sheetViews>
  <sheetFormatPr defaultColWidth="11" defaultRowHeight="15.75"/>
  <cols>
    <col min="1" max="1" width="2.875" customWidth="1"/>
    <col min="2" max="2" width="3.5" customWidth="1"/>
    <col min="3" max="3" width="36.5" bestFit="1" customWidth="1"/>
    <col min="4" max="4" width="11.5" customWidth="1"/>
    <col min="5" max="5" width="12.125" customWidth="1"/>
    <col min="6" max="6" width="6" customWidth="1"/>
    <col min="10" max="10" width="15.375" customWidth="1"/>
  </cols>
  <sheetData>
    <row r="1" spans="1:10">
      <c r="A1" s="42"/>
      <c r="B1" s="42"/>
      <c r="C1" s="42"/>
      <c r="D1" s="42"/>
      <c r="E1" s="42"/>
      <c r="F1" s="42"/>
      <c r="G1" s="42"/>
      <c r="H1" s="42"/>
      <c r="I1" s="42"/>
      <c r="J1" s="42"/>
    </row>
    <row r="2" spans="1:10" ht="23.25">
      <c r="A2" s="42"/>
      <c r="B2" s="42"/>
      <c r="C2" s="41" t="s">
        <v>107</v>
      </c>
      <c r="D2" s="42"/>
      <c r="E2" s="42"/>
      <c r="F2" s="42"/>
      <c r="G2" s="42"/>
      <c r="H2" s="42"/>
      <c r="I2" s="42"/>
      <c r="J2" s="42"/>
    </row>
    <row r="3" spans="1:10">
      <c r="A3" s="42"/>
      <c r="B3" s="42"/>
      <c r="C3" s="42"/>
      <c r="D3" s="42"/>
      <c r="E3" s="42"/>
      <c r="F3" s="42"/>
      <c r="G3" s="42"/>
      <c r="H3" s="42"/>
      <c r="I3" s="42"/>
      <c r="J3" s="42"/>
    </row>
    <row r="4" spans="1:10">
      <c r="A4" s="42"/>
      <c r="B4" s="47"/>
      <c r="C4" s="46"/>
      <c r="D4" s="46"/>
      <c r="E4" s="46"/>
      <c r="F4" s="46"/>
      <c r="G4" s="46"/>
      <c r="H4" s="46"/>
      <c r="I4" s="46"/>
      <c r="J4" s="48"/>
    </row>
    <row r="5" spans="1:10">
      <c r="A5" s="42"/>
      <c r="B5" s="49"/>
      <c r="C5" s="60" t="s">
        <v>91</v>
      </c>
      <c r="D5" s="51" t="s">
        <v>99</v>
      </c>
      <c r="E5" s="51"/>
      <c r="F5" s="42"/>
      <c r="G5" s="42"/>
      <c r="H5" s="42"/>
      <c r="I5" s="42"/>
      <c r="J5" s="50"/>
    </row>
    <row r="6" spans="1:10">
      <c r="A6" s="42"/>
      <c r="B6" s="49"/>
      <c r="C6" s="51"/>
      <c r="D6" s="51" t="s">
        <v>90</v>
      </c>
      <c r="E6" s="51" t="s">
        <v>93</v>
      </c>
      <c r="F6" s="42"/>
      <c r="G6" s="42"/>
      <c r="H6" s="42"/>
      <c r="I6" s="42"/>
      <c r="J6" s="50"/>
    </row>
    <row r="7" spans="1:10">
      <c r="A7" s="42"/>
      <c r="B7" s="49"/>
      <c r="C7" s="46" t="s">
        <v>85</v>
      </c>
      <c r="D7" s="46">
        <v>15</v>
      </c>
      <c r="E7" s="46">
        <f t="shared" ref="E7:E12" si="0">D7*100/1000</f>
        <v>1.5</v>
      </c>
      <c r="F7" s="42"/>
      <c r="G7" s="42"/>
      <c r="H7" s="42"/>
      <c r="I7" s="42"/>
      <c r="J7" s="50"/>
    </row>
    <row r="8" spans="1:10">
      <c r="A8" s="42"/>
      <c r="B8" s="49"/>
      <c r="C8" s="42" t="s">
        <v>86</v>
      </c>
      <c r="D8" s="42">
        <v>5</v>
      </c>
      <c r="E8" s="42">
        <f t="shared" si="0"/>
        <v>0.5</v>
      </c>
      <c r="F8" s="42"/>
      <c r="G8" s="42"/>
      <c r="H8" s="42"/>
      <c r="I8" s="42"/>
      <c r="J8" s="50"/>
    </row>
    <row r="9" spans="1:10">
      <c r="A9" s="42"/>
      <c r="B9" s="49"/>
      <c r="C9" s="42" t="s">
        <v>87</v>
      </c>
      <c r="D9" s="42">
        <v>60</v>
      </c>
      <c r="E9" s="42">
        <f t="shared" si="0"/>
        <v>6</v>
      </c>
      <c r="F9" s="42"/>
      <c r="G9" s="42"/>
      <c r="H9" s="42"/>
      <c r="I9" s="42"/>
      <c r="J9" s="50"/>
    </row>
    <row r="10" spans="1:10">
      <c r="A10" s="42"/>
      <c r="B10" s="49"/>
      <c r="C10" s="42" t="s">
        <v>88</v>
      </c>
      <c r="D10" s="42">
        <v>60</v>
      </c>
      <c r="E10" s="42">
        <f t="shared" si="0"/>
        <v>6</v>
      </c>
      <c r="F10" s="42"/>
      <c r="G10" s="42"/>
      <c r="H10" s="42"/>
      <c r="I10" s="42"/>
      <c r="J10" s="50"/>
    </row>
    <row r="11" spans="1:10">
      <c r="A11" s="42"/>
      <c r="B11" s="49"/>
      <c r="C11" s="43" t="s">
        <v>89</v>
      </c>
      <c r="D11" s="44">
        <v>60</v>
      </c>
      <c r="E11" s="44">
        <f t="shared" si="0"/>
        <v>6</v>
      </c>
      <c r="F11" s="42"/>
      <c r="G11" s="42"/>
      <c r="H11" s="42"/>
      <c r="I11" s="42"/>
      <c r="J11" s="50"/>
    </row>
    <row r="12" spans="1:10">
      <c r="A12" s="42"/>
      <c r="B12" s="49"/>
      <c r="C12" s="42" t="s">
        <v>92</v>
      </c>
      <c r="D12" s="42">
        <f>SUM(D7:D11)</f>
        <v>200</v>
      </c>
      <c r="E12" s="42">
        <f t="shared" si="0"/>
        <v>20</v>
      </c>
      <c r="F12" s="42"/>
      <c r="G12" s="42"/>
      <c r="H12" s="42"/>
      <c r="I12" s="42"/>
      <c r="J12" s="50"/>
    </row>
    <row r="13" spans="1:10">
      <c r="A13" s="42"/>
      <c r="B13" s="49"/>
      <c r="C13" s="42"/>
      <c r="D13" s="42"/>
      <c r="E13" s="42"/>
      <c r="F13" s="42"/>
      <c r="G13" s="42"/>
      <c r="H13" s="42"/>
      <c r="I13" s="42"/>
      <c r="J13" s="50"/>
    </row>
    <row r="14" spans="1:10">
      <c r="A14" s="42"/>
      <c r="B14" s="49"/>
      <c r="C14" s="42"/>
      <c r="D14" s="42"/>
      <c r="E14" s="42"/>
      <c r="F14" s="42"/>
      <c r="G14" s="42"/>
      <c r="H14" s="42"/>
      <c r="I14" s="42"/>
      <c r="J14" s="50"/>
    </row>
    <row r="15" spans="1:10">
      <c r="A15" s="42"/>
      <c r="B15" s="49"/>
      <c r="C15" s="42"/>
      <c r="D15" s="42"/>
      <c r="E15" s="42"/>
      <c r="F15" s="42"/>
      <c r="G15" s="42"/>
      <c r="H15" s="42"/>
      <c r="I15" s="42"/>
      <c r="J15" s="50"/>
    </row>
    <row r="16" spans="1:10">
      <c r="A16" s="42"/>
      <c r="B16" s="49"/>
      <c r="C16" s="42"/>
      <c r="D16" s="42"/>
      <c r="E16" s="42"/>
      <c r="F16" s="42"/>
      <c r="G16" s="42"/>
      <c r="H16" s="42"/>
      <c r="I16" s="42"/>
      <c r="J16" s="50"/>
    </row>
    <row r="17" spans="1:10">
      <c r="A17" s="42"/>
      <c r="B17" s="49"/>
      <c r="C17" s="42"/>
      <c r="D17" s="42"/>
      <c r="E17" s="42"/>
      <c r="F17" s="42"/>
      <c r="G17" s="42"/>
      <c r="H17" s="42"/>
      <c r="I17" s="42"/>
      <c r="J17" s="50"/>
    </row>
    <row r="18" spans="1:10">
      <c r="A18" s="42"/>
      <c r="B18" s="52"/>
      <c r="C18" s="44"/>
      <c r="D18" s="44"/>
      <c r="E18" s="44"/>
      <c r="F18" s="44"/>
      <c r="G18" s="44"/>
      <c r="H18" s="44"/>
      <c r="I18" s="44"/>
      <c r="J18" s="53"/>
    </row>
    <row r="19" spans="1:10">
      <c r="A19" s="42"/>
      <c r="B19" s="42"/>
      <c r="C19" s="42"/>
      <c r="D19" s="42"/>
      <c r="E19" s="42"/>
      <c r="F19" s="42"/>
      <c r="G19" s="42"/>
      <c r="H19" s="42"/>
      <c r="I19" s="42"/>
      <c r="J19" s="42"/>
    </row>
    <row r="20" spans="1:10">
      <c r="A20" s="42"/>
      <c r="B20" s="47"/>
      <c r="C20" s="46"/>
      <c r="D20" s="46"/>
      <c r="E20" s="46"/>
      <c r="F20" s="46"/>
      <c r="G20" s="46"/>
      <c r="H20" s="46"/>
      <c r="I20" s="46"/>
      <c r="J20" s="48"/>
    </row>
    <row r="21" spans="1:10">
      <c r="A21" s="42"/>
      <c r="B21" s="49"/>
      <c r="C21" s="42"/>
      <c r="D21" s="42"/>
      <c r="E21" s="42"/>
      <c r="F21" s="42"/>
      <c r="G21" s="42"/>
      <c r="H21" s="42"/>
      <c r="I21" s="42"/>
      <c r="J21" s="50"/>
    </row>
    <row r="22" spans="1:10">
      <c r="A22" s="42"/>
      <c r="B22" s="49"/>
      <c r="C22" s="42"/>
      <c r="D22" s="42"/>
      <c r="E22" s="42"/>
      <c r="F22" s="42"/>
      <c r="G22" s="42"/>
      <c r="H22" s="42"/>
      <c r="I22" s="42"/>
      <c r="J22" s="50"/>
    </row>
    <row r="23" spans="1:10">
      <c r="A23" s="42"/>
      <c r="B23" s="49"/>
      <c r="C23" s="60" t="s">
        <v>98</v>
      </c>
      <c r="D23" s="51" t="s">
        <v>99</v>
      </c>
      <c r="E23" s="51"/>
      <c r="F23" s="42"/>
      <c r="G23" s="42"/>
      <c r="H23" s="42"/>
      <c r="I23" s="42"/>
      <c r="J23" s="50"/>
    </row>
    <row r="24" spans="1:10">
      <c r="A24" s="42"/>
      <c r="B24" s="49"/>
      <c r="C24" s="51" t="s">
        <v>95</v>
      </c>
      <c r="D24" s="51" t="s">
        <v>90</v>
      </c>
      <c r="E24" s="51" t="s">
        <v>93</v>
      </c>
      <c r="F24" s="42"/>
      <c r="G24" s="42"/>
      <c r="H24" s="42"/>
      <c r="I24" s="42"/>
      <c r="J24" s="50"/>
    </row>
    <row r="25" spans="1:10">
      <c r="A25" s="42"/>
      <c r="B25" s="49"/>
      <c r="C25" s="42" t="s">
        <v>85</v>
      </c>
      <c r="D25" s="42">
        <v>20</v>
      </c>
      <c r="E25" s="42">
        <f>D25*100/1000</f>
        <v>2</v>
      </c>
      <c r="F25" s="42"/>
      <c r="G25" s="42"/>
      <c r="H25" s="42"/>
      <c r="I25" s="42"/>
      <c r="J25" s="50"/>
    </row>
    <row r="26" spans="1:10">
      <c r="A26" s="42"/>
      <c r="B26" s="49"/>
      <c r="C26" s="42" t="s">
        <v>86</v>
      </c>
      <c r="D26" s="42">
        <v>10</v>
      </c>
      <c r="E26" s="42">
        <f t="shared" ref="E26:E32" si="1">D26*100/1000</f>
        <v>1</v>
      </c>
      <c r="F26" s="42"/>
      <c r="G26" s="42"/>
      <c r="H26" s="42"/>
      <c r="I26" s="42"/>
      <c r="J26" s="50"/>
    </row>
    <row r="27" spans="1:10">
      <c r="A27" s="42"/>
      <c r="B27" s="49"/>
      <c r="C27" s="42" t="s">
        <v>94</v>
      </c>
      <c r="D27" s="42">
        <v>10</v>
      </c>
      <c r="E27" s="42">
        <f t="shared" si="1"/>
        <v>1</v>
      </c>
      <c r="F27" s="42"/>
      <c r="G27" s="42"/>
      <c r="H27" s="42"/>
      <c r="I27" s="42"/>
      <c r="J27" s="50"/>
    </row>
    <row r="28" spans="1:10">
      <c r="A28" s="42"/>
      <c r="B28" s="49"/>
      <c r="C28" s="42" t="s">
        <v>87</v>
      </c>
      <c r="D28" s="42">
        <v>50</v>
      </c>
      <c r="E28" s="42">
        <f t="shared" si="1"/>
        <v>5</v>
      </c>
      <c r="F28" s="42"/>
      <c r="G28" s="42"/>
      <c r="H28" s="42"/>
      <c r="I28" s="42"/>
      <c r="J28" s="50"/>
    </row>
    <row r="29" spans="1:10">
      <c r="A29" s="42"/>
      <c r="B29" s="49"/>
      <c r="C29" s="42" t="s">
        <v>88</v>
      </c>
      <c r="D29" s="42">
        <v>50</v>
      </c>
      <c r="E29" s="42">
        <f t="shared" si="1"/>
        <v>5</v>
      </c>
      <c r="F29" s="42"/>
      <c r="G29" s="42"/>
      <c r="H29" s="42"/>
      <c r="I29" s="42"/>
      <c r="J29" s="50"/>
    </row>
    <row r="30" spans="1:10">
      <c r="A30" s="42"/>
      <c r="B30" s="49"/>
      <c r="C30" s="45" t="s">
        <v>89</v>
      </c>
      <c r="D30" s="42">
        <v>100</v>
      </c>
      <c r="E30" s="42">
        <f t="shared" si="1"/>
        <v>10</v>
      </c>
      <c r="F30" s="42"/>
      <c r="G30" s="42"/>
      <c r="H30" s="42"/>
      <c r="I30" s="42"/>
      <c r="J30" s="50"/>
    </row>
    <row r="31" spans="1:10">
      <c r="A31" s="42"/>
      <c r="B31" s="49"/>
      <c r="C31" s="42" t="s">
        <v>97</v>
      </c>
      <c r="D31" s="42">
        <v>50</v>
      </c>
      <c r="E31" s="42">
        <f t="shared" si="1"/>
        <v>5</v>
      </c>
      <c r="F31" s="42"/>
      <c r="G31" s="42"/>
      <c r="H31" s="42"/>
      <c r="I31" s="42"/>
      <c r="J31" s="50"/>
    </row>
    <row r="32" spans="1:10">
      <c r="A32" s="42"/>
      <c r="B32" s="49"/>
      <c r="C32" s="42" t="s">
        <v>96</v>
      </c>
      <c r="D32" s="42">
        <v>30</v>
      </c>
      <c r="E32" s="42">
        <f t="shared" si="1"/>
        <v>3</v>
      </c>
      <c r="F32" s="42"/>
      <c r="G32" s="42"/>
      <c r="H32" s="42"/>
      <c r="I32" s="42"/>
      <c r="J32" s="50"/>
    </row>
    <row r="33" spans="1:10">
      <c r="A33" s="42"/>
      <c r="B33" s="49"/>
      <c r="C33" s="42" t="s">
        <v>92</v>
      </c>
      <c r="D33" s="42">
        <f>SUM(D25:D32)</f>
        <v>320</v>
      </c>
      <c r="E33" s="42">
        <f>SUM(E25:E32)</f>
        <v>32</v>
      </c>
      <c r="F33" s="42"/>
      <c r="G33" s="42"/>
      <c r="H33" s="42"/>
      <c r="I33" s="42"/>
      <c r="J33" s="50"/>
    </row>
    <row r="34" spans="1:10">
      <c r="A34" s="42"/>
      <c r="B34" s="49"/>
      <c r="C34" s="42"/>
      <c r="D34" s="42"/>
      <c r="E34" s="42"/>
      <c r="F34" s="42"/>
      <c r="G34" s="42"/>
      <c r="H34" s="42"/>
      <c r="I34" s="42"/>
      <c r="J34" s="50"/>
    </row>
    <row r="35" spans="1:10">
      <c r="A35" s="42"/>
      <c r="B35" s="49"/>
      <c r="C35" s="42"/>
      <c r="D35" s="42"/>
      <c r="E35" s="42"/>
      <c r="F35" s="42"/>
      <c r="G35" s="42"/>
      <c r="H35" s="42"/>
      <c r="I35" s="42"/>
      <c r="J35" s="50"/>
    </row>
    <row r="36" spans="1:10">
      <c r="A36" s="42"/>
      <c r="B36" s="49"/>
      <c r="C36" s="42"/>
      <c r="D36" s="42"/>
      <c r="E36" s="42"/>
      <c r="F36" s="42"/>
      <c r="G36" s="42"/>
      <c r="H36" s="42"/>
      <c r="I36" s="42"/>
      <c r="J36" s="50"/>
    </row>
    <row r="37" spans="1:10">
      <c r="A37" s="42"/>
      <c r="B37" s="49"/>
      <c r="C37" s="42"/>
      <c r="D37" s="42"/>
      <c r="E37" s="42"/>
      <c r="F37" s="42"/>
      <c r="G37" s="42"/>
      <c r="H37" s="42"/>
      <c r="I37" s="42"/>
      <c r="J37" s="50"/>
    </row>
    <row r="38" spans="1:10">
      <c r="A38" s="42"/>
      <c r="B38" s="49"/>
      <c r="C38" s="42"/>
      <c r="D38" s="42"/>
      <c r="E38" s="42"/>
      <c r="F38" s="42"/>
      <c r="G38" s="42"/>
      <c r="H38" s="42"/>
      <c r="I38" s="42"/>
      <c r="J38" s="50"/>
    </row>
    <row r="39" spans="1:10">
      <c r="A39" s="42"/>
      <c r="B39" s="49"/>
      <c r="C39" s="42"/>
      <c r="D39" s="42"/>
      <c r="E39" s="42"/>
      <c r="F39" s="42"/>
      <c r="G39" s="42"/>
      <c r="H39" s="42"/>
      <c r="I39" s="42"/>
      <c r="J39" s="50"/>
    </row>
    <row r="40" spans="1:10">
      <c r="A40" s="42"/>
      <c r="B40" s="49"/>
      <c r="C40" s="42"/>
      <c r="D40" s="42"/>
      <c r="E40" s="42"/>
      <c r="F40" s="42"/>
      <c r="G40" s="42"/>
      <c r="H40" s="42"/>
      <c r="I40" s="42"/>
      <c r="J40" s="50"/>
    </row>
    <row r="41" spans="1:10">
      <c r="A41" s="42"/>
      <c r="B41" s="49"/>
      <c r="C41" s="42"/>
      <c r="D41" s="42"/>
      <c r="E41" s="42"/>
      <c r="F41" s="42"/>
      <c r="G41" s="42"/>
      <c r="H41" s="42"/>
      <c r="I41" s="42"/>
      <c r="J41" s="50"/>
    </row>
    <row r="42" spans="1:10">
      <c r="A42" s="42"/>
      <c r="B42" s="49"/>
      <c r="C42" s="42"/>
      <c r="D42" s="42"/>
      <c r="E42" s="42"/>
      <c r="F42" s="42"/>
      <c r="G42" s="42"/>
      <c r="H42" s="42"/>
      <c r="I42" s="42"/>
      <c r="J42" s="50"/>
    </row>
    <row r="43" spans="1:10">
      <c r="A43" s="42"/>
      <c r="B43" s="52"/>
      <c r="C43" s="44"/>
      <c r="D43" s="44"/>
      <c r="E43" s="44"/>
      <c r="F43" s="44"/>
      <c r="G43" s="44"/>
      <c r="H43" s="44"/>
      <c r="I43" s="44"/>
      <c r="J43" s="53"/>
    </row>
    <row r="44" spans="1:10">
      <c r="A44" s="42"/>
      <c r="B44" s="42"/>
      <c r="C44" s="42"/>
      <c r="D44" s="42"/>
      <c r="E44" s="42"/>
      <c r="F44" s="42"/>
      <c r="G44" s="42"/>
      <c r="H44" s="42"/>
      <c r="I44" s="42"/>
      <c r="J44" s="42"/>
    </row>
    <row r="45" spans="1:10">
      <c r="A45" s="42"/>
      <c r="B45" s="47"/>
      <c r="C45" s="46"/>
      <c r="D45" s="46"/>
      <c r="E45" s="46"/>
      <c r="F45" s="46"/>
      <c r="G45" s="46"/>
      <c r="H45" s="46"/>
      <c r="I45" s="46"/>
      <c r="J45" s="48"/>
    </row>
    <row r="46" spans="1:10">
      <c r="A46" s="42"/>
      <c r="B46" s="49"/>
      <c r="C46" s="60" t="s">
        <v>150</v>
      </c>
      <c r="D46" s="51" t="s">
        <v>99</v>
      </c>
      <c r="E46" s="51"/>
      <c r="F46" s="42"/>
      <c r="G46" s="42"/>
      <c r="H46" s="42"/>
      <c r="I46" s="42"/>
      <c r="J46" s="50"/>
    </row>
    <row r="47" spans="1:10">
      <c r="A47" s="42"/>
      <c r="B47" s="49"/>
      <c r="C47" s="51" t="s">
        <v>151</v>
      </c>
      <c r="D47" s="51" t="s">
        <v>90</v>
      </c>
      <c r="E47" s="51" t="s">
        <v>93</v>
      </c>
      <c r="F47" s="42"/>
      <c r="G47" s="42"/>
      <c r="H47" s="42"/>
      <c r="I47" s="42"/>
      <c r="J47" s="50"/>
    </row>
    <row r="48" spans="1:10">
      <c r="A48" s="42"/>
      <c r="B48" s="49"/>
      <c r="C48" s="83" t="s">
        <v>85</v>
      </c>
      <c r="D48" s="42">
        <v>15</v>
      </c>
      <c r="E48" s="42">
        <f>D48*100/1000</f>
        <v>1.5</v>
      </c>
      <c r="F48" s="42"/>
      <c r="G48" s="42"/>
      <c r="H48" s="42"/>
      <c r="I48" s="42"/>
      <c r="J48" s="50"/>
    </row>
    <row r="49" spans="1:10">
      <c r="A49" s="42"/>
      <c r="B49" s="49"/>
      <c r="C49" s="83" t="s">
        <v>86</v>
      </c>
      <c r="D49" s="42">
        <v>5</v>
      </c>
      <c r="E49" s="42">
        <f t="shared" ref="E49:E55" si="2">D49*100/1000</f>
        <v>0.5</v>
      </c>
      <c r="F49" s="42"/>
      <c r="G49" s="42"/>
      <c r="H49" s="42"/>
      <c r="I49" s="42"/>
      <c r="J49" s="50"/>
    </row>
    <row r="50" spans="1:10">
      <c r="A50" s="42"/>
      <c r="B50" s="49"/>
      <c r="C50" s="83" t="s">
        <v>144</v>
      </c>
      <c r="D50" s="42">
        <v>20</v>
      </c>
      <c r="E50" s="42">
        <f t="shared" si="2"/>
        <v>2</v>
      </c>
      <c r="F50" s="42"/>
      <c r="G50" s="42"/>
      <c r="H50" s="42"/>
      <c r="I50" s="42"/>
      <c r="J50" s="50"/>
    </row>
    <row r="51" spans="1:10">
      <c r="A51" s="42"/>
      <c r="B51" s="49"/>
      <c r="C51" s="83" t="s">
        <v>145</v>
      </c>
      <c r="D51" s="42">
        <v>20</v>
      </c>
      <c r="E51" s="42">
        <f t="shared" si="2"/>
        <v>2</v>
      </c>
      <c r="F51" s="42"/>
      <c r="G51" s="42"/>
      <c r="H51" s="42"/>
      <c r="I51" s="42"/>
      <c r="J51" s="50"/>
    </row>
    <row r="52" spans="1:10">
      <c r="A52" s="42"/>
      <c r="B52" s="49"/>
      <c r="C52" s="83" t="s">
        <v>146</v>
      </c>
      <c r="D52" s="42">
        <v>40</v>
      </c>
      <c r="E52" s="42">
        <f t="shared" si="2"/>
        <v>4</v>
      </c>
      <c r="F52" s="42"/>
      <c r="G52" s="42"/>
      <c r="H52" s="42"/>
      <c r="I52" s="42"/>
      <c r="J52" s="50"/>
    </row>
    <row r="53" spans="1:10">
      <c r="A53" s="42"/>
      <c r="B53" s="49"/>
      <c r="C53" s="84" t="s">
        <v>147</v>
      </c>
      <c r="D53" s="42">
        <v>40</v>
      </c>
      <c r="E53" s="42">
        <f t="shared" si="2"/>
        <v>4</v>
      </c>
      <c r="F53" s="42"/>
      <c r="G53" s="42"/>
      <c r="H53" s="42"/>
      <c r="I53" s="42"/>
      <c r="J53" s="50"/>
    </row>
    <row r="54" spans="1:10">
      <c r="A54" s="42"/>
      <c r="B54" s="49"/>
      <c r="C54" s="83" t="s">
        <v>148</v>
      </c>
      <c r="D54" s="42">
        <v>50</v>
      </c>
      <c r="E54" s="42">
        <f t="shared" si="2"/>
        <v>5</v>
      </c>
      <c r="F54" s="42"/>
      <c r="G54" s="42"/>
      <c r="H54" s="42"/>
      <c r="I54" s="42"/>
      <c r="J54" s="50"/>
    </row>
    <row r="55" spans="1:10">
      <c r="A55" s="42"/>
      <c r="B55" s="49"/>
      <c r="C55" s="83" t="s">
        <v>149</v>
      </c>
      <c r="D55" s="42">
        <v>30</v>
      </c>
      <c r="E55" s="42">
        <f t="shared" si="2"/>
        <v>3</v>
      </c>
      <c r="F55" s="42"/>
      <c r="G55" s="42"/>
      <c r="H55" s="42"/>
      <c r="I55" s="42"/>
      <c r="J55" s="50"/>
    </row>
    <row r="56" spans="1:10">
      <c r="A56" s="42"/>
      <c r="B56" s="49"/>
      <c r="C56" s="46" t="s">
        <v>92</v>
      </c>
      <c r="D56" s="46">
        <f>SUM(D48:D55)</f>
        <v>220</v>
      </c>
      <c r="E56" s="46">
        <f>SUM(E48:E55)</f>
        <v>22</v>
      </c>
      <c r="F56" s="42"/>
      <c r="G56" s="42"/>
      <c r="H56" s="42"/>
      <c r="I56" s="42"/>
      <c r="J56" s="50"/>
    </row>
    <row r="57" spans="1:10">
      <c r="A57" s="42"/>
      <c r="B57" s="49"/>
      <c r="C57" s="42"/>
      <c r="D57" s="42"/>
      <c r="E57" s="42"/>
      <c r="F57" s="42"/>
      <c r="G57" s="42"/>
      <c r="H57" s="42"/>
      <c r="I57" s="42"/>
      <c r="J57" s="50"/>
    </row>
    <row r="58" spans="1:10">
      <c r="A58" s="42"/>
      <c r="B58" s="49"/>
      <c r="C58" s="42"/>
      <c r="D58" s="42"/>
      <c r="E58" s="42"/>
      <c r="F58" s="42"/>
      <c r="G58" s="42"/>
      <c r="H58" s="42"/>
      <c r="I58" s="42"/>
      <c r="J58" s="50"/>
    </row>
    <row r="59" spans="1:10">
      <c r="A59" s="42"/>
      <c r="B59" s="49"/>
      <c r="C59" s="42"/>
      <c r="D59" s="42"/>
      <c r="E59" s="42"/>
      <c r="F59" s="42"/>
      <c r="G59" s="42"/>
      <c r="H59" s="42"/>
      <c r="I59" s="42"/>
      <c r="J59" s="50"/>
    </row>
    <row r="60" spans="1:10">
      <c r="A60" s="42"/>
      <c r="B60" s="49"/>
      <c r="C60" s="42"/>
      <c r="D60" s="42"/>
      <c r="E60" s="42"/>
      <c r="F60" s="42"/>
      <c r="G60" s="42"/>
      <c r="H60" s="42"/>
      <c r="I60" s="42"/>
      <c r="J60" s="50"/>
    </row>
    <row r="61" spans="1:10">
      <c r="A61" s="42"/>
      <c r="B61" s="49"/>
      <c r="C61" s="42"/>
      <c r="D61" s="42"/>
      <c r="E61" s="42"/>
      <c r="F61" s="42"/>
      <c r="G61" s="42"/>
      <c r="H61" s="42"/>
      <c r="I61" s="42"/>
      <c r="J61" s="50"/>
    </row>
    <row r="62" spans="1:10">
      <c r="A62" s="42"/>
      <c r="B62" s="52"/>
      <c r="C62" s="57"/>
      <c r="D62" s="44"/>
      <c r="E62" s="44"/>
      <c r="F62" s="44"/>
      <c r="G62" s="44"/>
      <c r="H62" s="44"/>
      <c r="I62" s="44"/>
      <c r="J62" s="53"/>
    </row>
    <row r="63" spans="1:10">
      <c r="A63" s="42"/>
      <c r="B63" s="42"/>
      <c r="C63" s="42"/>
      <c r="D63" s="42"/>
      <c r="E63" s="42"/>
      <c r="F63" s="42"/>
      <c r="G63" s="42"/>
      <c r="H63" s="42"/>
      <c r="I63" s="42"/>
      <c r="J63" s="42"/>
    </row>
    <row r="64" spans="1:10">
      <c r="A64" s="42"/>
      <c r="B64" s="47"/>
      <c r="C64" s="46"/>
      <c r="D64" s="46"/>
      <c r="E64" s="46"/>
      <c r="F64" s="46"/>
      <c r="G64" s="46"/>
      <c r="H64" s="46"/>
      <c r="I64" s="46"/>
      <c r="J64" s="48"/>
    </row>
    <row r="65" spans="1:10">
      <c r="A65" s="42"/>
      <c r="B65" s="49"/>
      <c r="C65" s="64" t="s">
        <v>137</v>
      </c>
      <c r="D65" s="42"/>
      <c r="E65" s="42"/>
      <c r="F65" s="42"/>
      <c r="G65" s="42"/>
      <c r="H65" s="42"/>
      <c r="I65" s="42"/>
      <c r="J65" s="50"/>
    </row>
    <row r="66" spans="1:10">
      <c r="A66" s="42"/>
      <c r="B66" s="49"/>
      <c r="C66" s="62" t="s">
        <v>103</v>
      </c>
      <c r="D66" s="51" t="s">
        <v>99</v>
      </c>
      <c r="E66" s="51"/>
      <c r="F66" s="42"/>
      <c r="G66" s="63" t="s">
        <v>104</v>
      </c>
      <c r="H66" s="42"/>
      <c r="I66" s="42"/>
      <c r="J66" s="50"/>
    </row>
    <row r="67" spans="1:10">
      <c r="A67" s="42"/>
      <c r="B67" s="49"/>
      <c r="C67" s="61"/>
      <c r="D67" s="61" t="s">
        <v>90</v>
      </c>
      <c r="E67" s="61" t="s">
        <v>93</v>
      </c>
      <c r="F67" s="42"/>
      <c r="G67" s="42" t="s">
        <v>105</v>
      </c>
      <c r="H67" s="42"/>
      <c r="I67" s="42"/>
      <c r="J67" s="50"/>
    </row>
    <row r="68" spans="1:10">
      <c r="A68" s="42"/>
      <c r="B68" s="49"/>
      <c r="C68" s="54" t="s">
        <v>101</v>
      </c>
      <c r="D68" s="55">
        <f>D71/3</f>
        <v>66.666666666666671</v>
      </c>
      <c r="E68" s="56">
        <f>D68*100/1000</f>
        <v>6.666666666666667</v>
      </c>
      <c r="F68" s="42"/>
      <c r="G68" s="42" t="s">
        <v>106</v>
      </c>
      <c r="H68" s="42"/>
      <c r="I68" s="42"/>
      <c r="J68" s="50"/>
    </row>
    <row r="69" spans="1:10">
      <c r="A69" s="42"/>
      <c r="B69" s="49"/>
      <c r="C69" s="54" t="s">
        <v>100</v>
      </c>
      <c r="D69" s="55">
        <f>D71/3</f>
        <v>66.666666666666671</v>
      </c>
      <c r="E69" s="56">
        <f t="shared" ref="E69:E71" si="3">D69*100/1000</f>
        <v>6.666666666666667</v>
      </c>
      <c r="F69" s="42"/>
      <c r="G69" s="42"/>
      <c r="H69" s="42"/>
      <c r="I69" s="42"/>
      <c r="J69" s="50"/>
    </row>
    <row r="70" spans="1:10">
      <c r="A70" s="42"/>
      <c r="B70" s="49"/>
      <c r="C70" s="57" t="s">
        <v>102</v>
      </c>
      <c r="D70" s="58">
        <f>D71/3</f>
        <v>66.666666666666671</v>
      </c>
      <c r="E70" s="59">
        <f t="shared" si="3"/>
        <v>6.666666666666667</v>
      </c>
      <c r="F70" s="42"/>
      <c r="G70" s="42"/>
      <c r="H70" s="42"/>
      <c r="I70" s="42"/>
      <c r="J70" s="50"/>
    </row>
    <row r="71" spans="1:10">
      <c r="A71" s="42"/>
      <c r="B71" s="49"/>
      <c r="C71" s="54" t="s">
        <v>92</v>
      </c>
      <c r="D71" s="56">
        <v>200</v>
      </c>
      <c r="E71" s="56">
        <f t="shared" si="3"/>
        <v>20</v>
      </c>
      <c r="F71" s="42"/>
      <c r="G71" s="42"/>
      <c r="H71" s="42"/>
      <c r="I71" s="42"/>
      <c r="J71" s="50"/>
    </row>
    <row r="72" spans="1:10">
      <c r="A72" s="42"/>
      <c r="B72" s="49"/>
      <c r="C72" s="42"/>
      <c r="D72" s="42"/>
      <c r="E72" s="42"/>
      <c r="F72" s="42"/>
      <c r="G72" s="42"/>
      <c r="H72" s="42"/>
      <c r="I72" s="42"/>
      <c r="J72" s="50"/>
    </row>
    <row r="73" spans="1:10">
      <c r="A73" s="42"/>
      <c r="B73" s="52"/>
      <c r="C73" s="44"/>
      <c r="D73" s="44"/>
      <c r="E73" s="44"/>
      <c r="F73" s="44"/>
      <c r="G73" s="44"/>
      <c r="H73" s="44"/>
      <c r="I73" s="44"/>
      <c r="J73" s="53"/>
    </row>
    <row r="74" spans="1:10">
      <c r="A74" s="42"/>
      <c r="B74" s="42"/>
      <c r="C74" s="42"/>
      <c r="D74" s="42"/>
      <c r="E74" s="42"/>
      <c r="F74" s="42"/>
      <c r="G74" s="42"/>
      <c r="H74" s="42"/>
      <c r="I74" s="42"/>
      <c r="J74" s="42"/>
    </row>
    <row r="75" spans="1:10">
      <c r="B75" s="47"/>
      <c r="C75" s="46"/>
      <c r="D75" s="46"/>
      <c r="E75" s="46"/>
      <c r="F75" s="46"/>
      <c r="G75" s="46"/>
      <c r="H75" s="46"/>
      <c r="I75" s="46"/>
      <c r="J75" s="48"/>
    </row>
    <row r="76" spans="1:10">
      <c r="B76" s="49"/>
      <c r="C76" s="64" t="s">
        <v>152</v>
      </c>
      <c r="D76" s="42"/>
      <c r="E76" s="42"/>
      <c r="F76" s="42"/>
      <c r="G76" s="42"/>
      <c r="H76" s="42"/>
      <c r="I76" s="42"/>
      <c r="J76" s="50"/>
    </row>
    <row r="77" spans="1:10">
      <c r="B77" s="49"/>
      <c r="C77" s="62" t="s">
        <v>103</v>
      </c>
      <c r="D77" s="51" t="s">
        <v>99</v>
      </c>
      <c r="E77" s="51"/>
      <c r="F77" s="42"/>
      <c r="G77" s="63" t="s">
        <v>175</v>
      </c>
      <c r="H77" s="42"/>
      <c r="I77" s="42"/>
      <c r="J77" s="50"/>
    </row>
    <row r="78" spans="1:10">
      <c r="B78" s="49"/>
      <c r="C78" s="61"/>
      <c r="D78" s="61" t="s">
        <v>90</v>
      </c>
      <c r="E78" s="61" t="s">
        <v>93</v>
      </c>
      <c r="F78" s="42"/>
      <c r="G78" s="42" t="s">
        <v>105</v>
      </c>
      <c r="H78" s="42"/>
      <c r="I78" s="42"/>
      <c r="J78" s="50"/>
    </row>
    <row r="79" spans="1:10">
      <c r="B79" s="49"/>
      <c r="C79" s="54" t="s">
        <v>101</v>
      </c>
      <c r="D79" s="55"/>
      <c r="E79" s="56">
        <v>5</v>
      </c>
      <c r="F79" s="42"/>
      <c r="G79" s="42" t="s">
        <v>176</v>
      </c>
      <c r="H79" s="42"/>
      <c r="I79" s="42"/>
      <c r="J79" s="50"/>
    </row>
    <row r="80" spans="1:10">
      <c r="B80" s="49"/>
      <c r="C80" s="54" t="s">
        <v>100</v>
      </c>
      <c r="D80" s="55"/>
      <c r="E80" s="56">
        <f>10</f>
        <v>10</v>
      </c>
      <c r="F80" s="42"/>
      <c r="G80" s="90" t="s">
        <v>154</v>
      </c>
      <c r="H80" s="42"/>
      <c r="I80" s="42"/>
      <c r="J80" s="50"/>
    </row>
    <row r="81" spans="2:10">
      <c r="B81" s="49"/>
      <c r="C81" s="57" t="s">
        <v>158</v>
      </c>
      <c r="D81" s="58"/>
      <c r="E81" s="59">
        <v>5</v>
      </c>
      <c r="F81" s="42"/>
      <c r="G81" s="42" t="s">
        <v>153</v>
      </c>
      <c r="H81" s="42"/>
      <c r="I81" s="42"/>
      <c r="J81" s="50"/>
    </row>
    <row r="82" spans="2:10">
      <c r="B82" s="49"/>
      <c r="C82" s="54" t="s">
        <v>92</v>
      </c>
      <c r="D82" s="56"/>
      <c r="E82" s="56">
        <f>SUM(E79:E81)</f>
        <v>20</v>
      </c>
      <c r="F82" s="42"/>
      <c r="G82" s="42" t="s">
        <v>174</v>
      </c>
      <c r="H82" s="42"/>
      <c r="I82" s="42"/>
      <c r="J82" s="50"/>
    </row>
    <row r="83" spans="2:10">
      <c r="B83" s="49"/>
      <c r="C83" s="42"/>
      <c r="D83" s="42"/>
      <c r="E83" s="42"/>
      <c r="F83" s="42"/>
      <c r="G83" s="42" t="s">
        <v>155</v>
      </c>
      <c r="H83" s="42"/>
      <c r="I83" s="42"/>
      <c r="J83" s="50"/>
    </row>
    <row r="84" spans="2:10">
      <c r="B84" s="52"/>
      <c r="C84" s="44"/>
      <c r="D84" s="44"/>
      <c r="E84" s="44"/>
      <c r="F84" s="44"/>
      <c r="G84" s="44"/>
      <c r="H84" s="44"/>
      <c r="I84" s="44"/>
      <c r="J84" s="53"/>
    </row>
    <row r="87" spans="2:10">
      <c r="F87">
        <v>2021</v>
      </c>
    </row>
  </sheetData>
  <pageMargins left="0.75" right="0.75" top="1" bottom="1" header="0.5" footer="0.5"/>
  <pageSetup paperSize="9" orientation="portrait" horizontalDpi="4294967292" verticalDpi="4294967292"/>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I181"/>
  <sheetViews>
    <sheetView topLeftCell="A211" zoomScale="70" zoomScaleNormal="70" workbookViewId="0">
      <selection activeCell="I185" sqref="I185"/>
    </sheetView>
  </sheetViews>
  <sheetFormatPr defaultColWidth="11" defaultRowHeight="15.75"/>
  <sheetData>
    <row r="181" spans="9:9">
      <c r="I181" t="s">
        <v>188</v>
      </c>
    </row>
  </sheetData>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5</vt:i4>
      </vt:variant>
    </vt:vector>
  </HeadingPairs>
  <TitlesOfParts>
    <vt:vector size="5" baseType="lpstr">
      <vt:lpstr>CHA_Management</vt:lpstr>
      <vt:lpstr>Parcel separation</vt:lpstr>
      <vt:lpstr>Additional information</vt:lpstr>
      <vt:lpstr>Seed mixtures</vt:lpstr>
      <vt:lpstr>Herbicides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Mitarbeiter</dc:creator>
  <cp:lastModifiedBy>Wang  Yi</cp:lastModifiedBy>
  <cp:lastPrinted>2017-03-23T14:39:58Z</cp:lastPrinted>
  <dcterms:created xsi:type="dcterms:W3CDTF">2015-02-20T10:48:42Z</dcterms:created>
  <dcterms:modified xsi:type="dcterms:W3CDTF">2024-09-18T09:32:53Z</dcterms:modified>
</cp:coreProperties>
</file>